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Gas Supply\Cost of Gas and Rates\Rate Applications\Commodity Rate Applications\2021 Fall\COG\Market Update\"/>
    </mc:Choice>
  </mc:AlternateContent>
  <bookViews>
    <workbookView xWindow="0" yWindow="0" windowWidth="23040" windowHeight="11595" firstSheet="3" activeTab="8"/>
  </bookViews>
  <sheets>
    <sheet name=" Sch 1.0 COGS Page 1" sheetId="1" r:id="rId1"/>
    <sheet name=" Sch 1.0 COGS Page 2" sheetId="2" r:id="rId2"/>
    <sheet name=" Sch 1.1 Prices Page 1" sheetId="3" r:id="rId3"/>
    <sheet name=" Sch 1.1 Prices Page 2" sheetId="4" r:id="rId4"/>
    <sheet name="Sch 1.2 Storage Page 1 " sheetId="5" r:id="rId5"/>
    <sheet name="Sch 1.2 Storage Page 2" sheetId="6" r:id="rId6"/>
    <sheet name="Sch 2.0 (21 Rate App)" sheetId="8" r:id="rId7"/>
    <sheet name="Sch 2.1 (21 Rate App)" sheetId="9" r:id="rId8"/>
    <sheet name=" Sch 3.0 Rate " sheetId="7" r:id="rId9"/>
  </sheets>
  <externalReferences>
    <externalReference r:id="rId10"/>
    <externalReference r:id="rId11"/>
    <externalReference r:id="rId12"/>
    <externalReference r:id="rId13"/>
    <externalReference r:id="rId14"/>
  </externalReferences>
  <definedNames>
    <definedName name="CL" localSheetId="0">' Sch 1.0 COGS Page 1'!CL</definedName>
    <definedName name="CL" localSheetId="1">' Sch 1.0 COGS Page 2'!CL</definedName>
    <definedName name="CL" localSheetId="2">' Sch 1.1 Prices Page 1'!CL</definedName>
    <definedName name="CL" localSheetId="3">' Sch 1.1 Prices Page 2'!CL</definedName>
    <definedName name="CL" localSheetId="8">' Sch 3.0 Rate '!CL</definedName>
    <definedName name="CL" localSheetId="4">'Sch 1.2 Storage Page 1 '!CL</definedName>
    <definedName name="CL" localSheetId="5">'Sch 1.2 Storage Page 2'!CL</definedName>
    <definedName name="CL" localSheetId="6">'Sch 2.0 (21 Rate App)'!CL</definedName>
    <definedName name="CL" localSheetId="7">'Sch 2.1 (21 Rate App)'!CL</definedName>
    <definedName name="CL">[0]!CL</definedName>
    <definedName name="df">#N/A</definedName>
    <definedName name="fd">#N/A</definedName>
    <definedName name="first" localSheetId="0">' Sch 1.0 COGS Page 1'!first</definedName>
    <definedName name="first" localSheetId="1">' Sch 1.0 COGS Page 2'!first</definedName>
    <definedName name="first" localSheetId="2">' Sch 1.1 Prices Page 1'!first</definedName>
    <definedName name="first" localSheetId="3">' Sch 1.1 Prices Page 2'!first</definedName>
    <definedName name="first" localSheetId="8">' Sch 3.0 Rate '!first</definedName>
    <definedName name="first" localSheetId="4">'Sch 1.2 Storage Page 1 '!first</definedName>
    <definedName name="first" localSheetId="5">'Sch 1.2 Storage Page 2'!first</definedName>
    <definedName name="first" localSheetId="6">'Sch 2.0 (21 Rate App)'!first</definedName>
    <definedName name="first" localSheetId="7">'Sch 2.1 (21 Rate App)'!first</definedName>
    <definedName name="first">[0]!first</definedName>
    <definedName name="gd" localSheetId="1" hidden="1">{#N/A,#N/A,TRUE,"CoGS";#N/A,#N/A,TRUE,"Option Hedges";#N/A,#N/A,TRUE,"Fixed Price Contracts";#N/A,#N/A,TRUE,"Swap Hedges";#N/A,#N/A,TRUE,"Op Plan";#N/A,#N/A,TRUE,"Trans.";#N/A,#N/A,TRUE,"Inven."}</definedName>
    <definedName name="gd" localSheetId="2" hidden="1">{#N/A,#N/A,TRUE,"CoGS";#N/A,#N/A,TRUE,"Option Hedges";#N/A,#N/A,TRUE,"Fixed Price Contracts";#N/A,#N/A,TRUE,"Swap Hedges";#N/A,#N/A,TRUE,"Op Plan";#N/A,#N/A,TRUE,"Trans.";#N/A,#N/A,TRUE,"Inven."}</definedName>
    <definedName name="gd" localSheetId="3" hidden="1">{#N/A,#N/A,TRUE,"CoGS";#N/A,#N/A,TRUE,"Option Hedges";#N/A,#N/A,TRUE,"Fixed Price Contracts";#N/A,#N/A,TRUE,"Swap Hedges";#N/A,#N/A,TRUE,"Op Plan";#N/A,#N/A,TRUE,"Trans.";#N/A,#N/A,TRUE,"Inven."}</definedName>
    <definedName name="gd" localSheetId="8" hidden="1">{#N/A,#N/A,TRUE,"CoGS";#N/A,#N/A,TRUE,"Option Hedges";#N/A,#N/A,TRUE,"Fixed Price Contracts";#N/A,#N/A,TRUE,"Swap Hedges";#N/A,#N/A,TRUE,"Op Plan";#N/A,#N/A,TRUE,"Trans.";#N/A,#N/A,TRUE,"Inven."}</definedName>
    <definedName name="gd" localSheetId="4" hidden="1">{#N/A,#N/A,TRUE,"CoGS";#N/A,#N/A,TRUE,"Option Hedges";#N/A,#N/A,TRUE,"Fixed Price Contracts";#N/A,#N/A,TRUE,"Swap Hedges";#N/A,#N/A,TRUE,"Op Plan";#N/A,#N/A,TRUE,"Trans.";#N/A,#N/A,TRUE,"Inven."}</definedName>
    <definedName name="gd" localSheetId="5" hidden="1">{#N/A,#N/A,TRUE,"CoGS";#N/A,#N/A,TRUE,"Option Hedges";#N/A,#N/A,TRUE,"Fixed Price Contracts";#N/A,#N/A,TRUE,"Swap Hedges";#N/A,#N/A,TRUE,"Op Plan";#N/A,#N/A,TRUE,"Trans.";#N/A,#N/A,TRUE,"Inven."}</definedName>
    <definedName name="gd" localSheetId="6" hidden="1">{#N/A,#N/A,TRUE,"CoGS";#N/A,#N/A,TRUE,"Option Hedges";#N/A,#N/A,TRUE,"Fixed Price Contracts";#N/A,#N/A,TRUE,"Swap Hedges";#N/A,#N/A,TRUE,"Op Plan";#N/A,#N/A,TRUE,"Trans.";#N/A,#N/A,TRUE,"Inven."}</definedName>
    <definedName name="gd" localSheetId="7" hidden="1">{#N/A,#N/A,TRUE,"CoGS";#N/A,#N/A,TRUE,"Option Hedges";#N/A,#N/A,TRUE,"Fixed Price Contracts";#N/A,#N/A,TRUE,"Swap Hedges";#N/A,#N/A,TRUE,"Op Plan";#N/A,#N/A,TRUE,"Trans.";#N/A,#N/A,TRUE,"Inven."}</definedName>
    <definedName name="gd" hidden="1">{#N/A,#N/A,TRUE,"CoGS";#N/A,#N/A,TRUE,"Option Hedges";#N/A,#N/A,TRUE,"Fixed Price Contracts";#N/A,#N/A,TRUE,"Swap Hedges";#N/A,#N/A,TRUE,"Op Plan";#N/A,#N/A,TRUE,"Trans.";#N/A,#N/A,TRUE,"Inven."}</definedName>
    <definedName name="gf">#N/A</definedName>
    <definedName name="gfd" localSheetId="1" hidden="1">{#N/A,#N/A,FALSE,"CoGS (2)";#N/A,#N/A,FALSE,"MtM";#N/A,#N/A,FALSE,"CoG Bdgt &amp; Mkt";#N/A,#N/A,FALSE,"Option Hedges";#N/A,#N/A,FALSE,"Fixed Price Contracts";#N/A,#N/A,FALSE,"Swap Hedges";#N/A,#N/A,FALSE,"Op Plan";#N/A,#N/A,FALSE,"Trans.";#N/A,#N/A,FALSE,"AcctgInven.";#N/A,#N/A,FALSE,"BOBInven."}</definedName>
    <definedName name="gfd" localSheetId="2" hidden="1">{#N/A,#N/A,FALSE,"CoGS (2)";#N/A,#N/A,FALSE,"MtM";#N/A,#N/A,FALSE,"CoG Bdgt &amp; Mkt";#N/A,#N/A,FALSE,"Option Hedges";#N/A,#N/A,FALSE,"Fixed Price Contracts";#N/A,#N/A,FALSE,"Swap Hedges";#N/A,#N/A,FALSE,"Op Plan";#N/A,#N/A,FALSE,"Trans.";#N/A,#N/A,FALSE,"AcctgInven.";#N/A,#N/A,FALSE,"BOBInven."}</definedName>
    <definedName name="gfd" localSheetId="3" hidden="1">{#N/A,#N/A,FALSE,"CoGS (2)";#N/A,#N/A,FALSE,"MtM";#N/A,#N/A,FALSE,"CoG Bdgt &amp; Mkt";#N/A,#N/A,FALSE,"Option Hedges";#N/A,#N/A,FALSE,"Fixed Price Contracts";#N/A,#N/A,FALSE,"Swap Hedges";#N/A,#N/A,FALSE,"Op Plan";#N/A,#N/A,FALSE,"Trans.";#N/A,#N/A,FALSE,"AcctgInven.";#N/A,#N/A,FALSE,"BOBInven."}</definedName>
    <definedName name="gfd" localSheetId="8" hidden="1">{#N/A,#N/A,FALSE,"CoGS (2)";#N/A,#N/A,FALSE,"MtM";#N/A,#N/A,FALSE,"CoG Bdgt &amp; Mkt";#N/A,#N/A,FALSE,"Option Hedges";#N/A,#N/A,FALSE,"Fixed Price Contracts";#N/A,#N/A,FALSE,"Swap Hedges";#N/A,#N/A,FALSE,"Op Plan";#N/A,#N/A,FALSE,"Trans.";#N/A,#N/A,FALSE,"AcctgInven.";#N/A,#N/A,FALSE,"BOBInven."}</definedName>
    <definedName name="gfd" localSheetId="4" hidden="1">{#N/A,#N/A,FALSE,"CoGS (2)";#N/A,#N/A,FALSE,"MtM";#N/A,#N/A,FALSE,"CoG Bdgt &amp; Mkt";#N/A,#N/A,FALSE,"Option Hedges";#N/A,#N/A,FALSE,"Fixed Price Contracts";#N/A,#N/A,FALSE,"Swap Hedges";#N/A,#N/A,FALSE,"Op Plan";#N/A,#N/A,FALSE,"Trans.";#N/A,#N/A,FALSE,"AcctgInven.";#N/A,#N/A,FALSE,"BOBInven."}</definedName>
    <definedName name="gfd" localSheetId="5" hidden="1">{#N/A,#N/A,FALSE,"CoGS (2)";#N/A,#N/A,FALSE,"MtM";#N/A,#N/A,FALSE,"CoG Bdgt &amp; Mkt";#N/A,#N/A,FALSE,"Option Hedges";#N/A,#N/A,FALSE,"Fixed Price Contracts";#N/A,#N/A,FALSE,"Swap Hedges";#N/A,#N/A,FALSE,"Op Plan";#N/A,#N/A,FALSE,"Trans.";#N/A,#N/A,FALSE,"AcctgInven.";#N/A,#N/A,FALSE,"BOBInven."}</definedName>
    <definedName name="gfd" localSheetId="6" hidden="1">{#N/A,#N/A,FALSE,"CoGS (2)";#N/A,#N/A,FALSE,"MtM";#N/A,#N/A,FALSE,"CoG Bdgt &amp; Mkt";#N/A,#N/A,FALSE,"Option Hedges";#N/A,#N/A,FALSE,"Fixed Price Contracts";#N/A,#N/A,FALSE,"Swap Hedges";#N/A,#N/A,FALSE,"Op Plan";#N/A,#N/A,FALSE,"Trans.";#N/A,#N/A,FALSE,"AcctgInven.";#N/A,#N/A,FALSE,"BOBInven."}</definedName>
    <definedName name="gfd" localSheetId="7" hidden="1">{#N/A,#N/A,FALSE,"CoGS (2)";#N/A,#N/A,FALSE,"MtM";#N/A,#N/A,FALSE,"CoG Bdgt &amp; Mkt";#N/A,#N/A,FALSE,"Option Hedges";#N/A,#N/A,FALSE,"Fixed Price Contracts";#N/A,#N/A,FALSE,"Swap Hedges";#N/A,#N/A,FALSE,"Op Plan";#N/A,#N/A,FALSE,"Trans.";#N/A,#N/A,FALSE,"AcctgInven.";#N/A,#N/A,FALSE,"BOBInven."}</definedName>
    <definedName name="gfd" hidden="1">{#N/A,#N/A,FALSE,"CoGS (2)";#N/A,#N/A,FALSE,"MtM";#N/A,#N/A,FALSE,"CoG Bdgt &amp; Mkt";#N/A,#N/A,FALSE,"Option Hedges";#N/A,#N/A,FALSE,"Fixed Price Contracts";#N/A,#N/A,FALSE,"Swap Hedges";#N/A,#N/A,FALSE,"Op Plan";#N/A,#N/A,FALSE,"Trans.";#N/A,#N/A,FALSE,"AcctgInven.";#N/A,#N/A,FALSE,"BOBInven."}</definedName>
    <definedName name="jh">#N/A</definedName>
    <definedName name="kjh" localSheetId="1" hidden="1">{#N/A,#N/A,TRUE,"Sask.Fieldgate Differential";#N/A,#N/A,TRUE,"WAAFP Exposure";#N/A,#N/A,TRUE,"Aeco Exposure 0108";#N/A,#N/A,TRUE,"Empress Exposure";#N/A,#N/A,TRUE,"Fixed Price Contracts";#N/A,#N/A,TRUE,"Fixed Hedges (Swaps)";#N/A,#N/A,TRUE,"op0108 (by price) ";#N/A,#N/A,TRUE,"TEP transport"}</definedName>
    <definedName name="kjh" localSheetId="2" hidden="1">{#N/A,#N/A,TRUE,"Sask.Fieldgate Differential";#N/A,#N/A,TRUE,"WAAFP Exposure";#N/A,#N/A,TRUE,"Aeco Exposure 0108";#N/A,#N/A,TRUE,"Empress Exposure";#N/A,#N/A,TRUE,"Fixed Price Contracts";#N/A,#N/A,TRUE,"Fixed Hedges (Swaps)";#N/A,#N/A,TRUE,"op0108 (by price) ";#N/A,#N/A,TRUE,"TEP transport"}</definedName>
    <definedName name="kjh" localSheetId="3" hidden="1">{#N/A,#N/A,TRUE,"Sask.Fieldgate Differential";#N/A,#N/A,TRUE,"WAAFP Exposure";#N/A,#N/A,TRUE,"Aeco Exposure 0108";#N/A,#N/A,TRUE,"Empress Exposure";#N/A,#N/A,TRUE,"Fixed Price Contracts";#N/A,#N/A,TRUE,"Fixed Hedges (Swaps)";#N/A,#N/A,TRUE,"op0108 (by price) ";#N/A,#N/A,TRUE,"TEP transport"}</definedName>
    <definedName name="kjh" localSheetId="8" hidden="1">{#N/A,#N/A,TRUE,"Sask.Fieldgate Differential";#N/A,#N/A,TRUE,"WAAFP Exposure";#N/A,#N/A,TRUE,"Aeco Exposure 0108";#N/A,#N/A,TRUE,"Empress Exposure";#N/A,#N/A,TRUE,"Fixed Price Contracts";#N/A,#N/A,TRUE,"Fixed Hedges (Swaps)";#N/A,#N/A,TRUE,"op0108 (by price) ";#N/A,#N/A,TRUE,"TEP transport"}</definedName>
    <definedName name="kjh" localSheetId="4" hidden="1">{#N/A,#N/A,TRUE,"Sask.Fieldgate Differential";#N/A,#N/A,TRUE,"WAAFP Exposure";#N/A,#N/A,TRUE,"Aeco Exposure 0108";#N/A,#N/A,TRUE,"Empress Exposure";#N/A,#N/A,TRUE,"Fixed Price Contracts";#N/A,#N/A,TRUE,"Fixed Hedges (Swaps)";#N/A,#N/A,TRUE,"op0108 (by price) ";#N/A,#N/A,TRUE,"TEP transport"}</definedName>
    <definedName name="kjh" localSheetId="5" hidden="1">{#N/A,#N/A,TRUE,"Sask.Fieldgate Differential";#N/A,#N/A,TRUE,"WAAFP Exposure";#N/A,#N/A,TRUE,"Aeco Exposure 0108";#N/A,#N/A,TRUE,"Empress Exposure";#N/A,#N/A,TRUE,"Fixed Price Contracts";#N/A,#N/A,TRUE,"Fixed Hedges (Swaps)";#N/A,#N/A,TRUE,"op0108 (by price) ";#N/A,#N/A,TRUE,"TEP transport"}</definedName>
    <definedName name="kjh" localSheetId="6" hidden="1">{#N/A,#N/A,TRUE,"Sask.Fieldgate Differential";#N/A,#N/A,TRUE,"WAAFP Exposure";#N/A,#N/A,TRUE,"Aeco Exposure 0108";#N/A,#N/A,TRUE,"Empress Exposure";#N/A,#N/A,TRUE,"Fixed Price Contracts";#N/A,#N/A,TRUE,"Fixed Hedges (Swaps)";#N/A,#N/A,TRUE,"op0108 (by price) ";#N/A,#N/A,TRUE,"TEP transport"}</definedName>
    <definedName name="kjh" localSheetId="7" hidden="1">{#N/A,#N/A,TRUE,"Sask.Fieldgate Differential";#N/A,#N/A,TRUE,"WAAFP Exposure";#N/A,#N/A,TRUE,"Aeco Exposure 0108";#N/A,#N/A,TRUE,"Empress Exposure";#N/A,#N/A,TRUE,"Fixed Price Contracts";#N/A,#N/A,TRUE,"Fixed Hedges (Swaps)";#N/A,#N/A,TRUE,"op0108 (by price) ";#N/A,#N/A,TRUE,"TEP transport"}</definedName>
    <definedName name="kjh" hidden="1">{#N/A,#N/A,TRUE,"Sask.Fieldgate Differential";#N/A,#N/A,TRUE,"WAAFP Exposure";#N/A,#N/A,TRUE,"Aeco Exposure 0108";#N/A,#N/A,TRUE,"Empress Exposure";#N/A,#N/A,TRUE,"Fixed Price Contracts";#N/A,#N/A,TRUE,"Fixed Hedges (Swaps)";#N/A,#N/A,TRUE,"op0108 (by price) ";#N/A,#N/A,TRUE,"TEP transport"}</definedName>
    <definedName name="lk" localSheetId="1" hidden="1">{#N/A,#N/A,FALSE,"CoGS (2)";#N/A,#N/A,FALSE,"MtM";#N/A,#N/A,FALSE,"CoG Bdgt &amp; Mkt";#N/A,#N/A,FALSE,"Option Hedges";#N/A,#N/A,FALSE,"Fixed Price Contracts";#N/A,#N/A,FALSE,"Swap Hedges";#N/A,#N/A,FALSE,"Op Plan";#N/A,#N/A,FALSE,"Trans.";#N/A,#N/A,FALSE,"AcctgInven.";#N/A,#N/A,FALSE,"BOBInven."}</definedName>
    <definedName name="lk" localSheetId="2" hidden="1">{#N/A,#N/A,FALSE,"CoGS (2)";#N/A,#N/A,FALSE,"MtM";#N/A,#N/A,FALSE,"CoG Bdgt &amp; Mkt";#N/A,#N/A,FALSE,"Option Hedges";#N/A,#N/A,FALSE,"Fixed Price Contracts";#N/A,#N/A,FALSE,"Swap Hedges";#N/A,#N/A,FALSE,"Op Plan";#N/A,#N/A,FALSE,"Trans.";#N/A,#N/A,FALSE,"AcctgInven.";#N/A,#N/A,FALSE,"BOBInven."}</definedName>
    <definedName name="lk" localSheetId="3" hidden="1">{#N/A,#N/A,FALSE,"CoGS (2)";#N/A,#N/A,FALSE,"MtM";#N/A,#N/A,FALSE,"CoG Bdgt &amp; Mkt";#N/A,#N/A,FALSE,"Option Hedges";#N/A,#N/A,FALSE,"Fixed Price Contracts";#N/A,#N/A,FALSE,"Swap Hedges";#N/A,#N/A,FALSE,"Op Plan";#N/A,#N/A,FALSE,"Trans.";#N/A,#N/A,FALSE,"AcctgInven.";#N/A,#N/A,FALSE,"BOBInven."}</definedName>
    <definedName name="lk" localSheetId="8" hidden="1">{#N/A,#N/A,FALSE,"CoGS (2)";#N/A,#N/A,FALSE,"MtM";#N/A,#N/A,FALSE,"CoG Bdgt &amp; Mkt";#N/A,#N/A,FALSE,"Option Hedges";#N/A,#N/A,FALSE,"Fixed Price Contracts";#N/A,#N/A,FALSE,"Swap Hedges";#N/A,#N/A,FALSE,"Op Plan";#N/A,#N/A,FALSE,"Trans.";#N/A,#N/A,FALSE,"AcctgInven.";#N/A,#N/A,FALSE,"BOBInven."}</definedName>
    <definedName name="lk" localSheetId="4" hidden="1">{#N/A,#N/A,FALSE,"CoGS (2)";#N/A,#N/A,FALSE,"MtM";#N/A,#N/A,FALSE,"CoG Bdgt &amp; Mkt";#N/A,#N/A,FALSE,"Option Hedges";#N/A,#N/A,FALSE,"Fixed Price Contracts";#N/A,#N/A,FALSE,"Swap Hedges";#N/A,#N/A,FALSE,"Op Plan";#N/A,#N/A,FALSE,"Trans.";#N/A,#N/A,FALSE,"AcctgInven.";#N/A,#N/A,FALSE,"BOBInven."}</definedName>
    <definedName name="lk" localSheetId="5" hidden="1">{#N/A,#N/A,FALSE,"CoGS (2)";#N/A,#N/A,FALSE,"MtM";#N/A,#N/A,FALSE,"CoG Bdgt &amp; Mkt";#N/A,#N/A,FALSE,"Option Hedges";#N/A,#N/A,FALSE,"Fixed Price Contracts";#N/A,#N/A,FALSE,"Swap Hedges";#N/A,#N/A,FALSE,"Op Plan";#N/A,#N/A,FALSE,"Trans.";#N/A,#N/A,FALSE,"AcctgInven.";#N/A,#N/A,FALSE,"BOBInven."}</definedName>
    <definedName name="lk" localSheetId="6" hidden="1">{#N/A,#N/A,FALSE,"CoGS (2)";#N/A,#N/A,FALSE,"MtM";#N/A,#N/A,FALSE,"CoG Bdgt &amp; Mkt";#N/A,#N/A,FALSE,"Option Hedges";#N/A,#N/A,FALSE,"Fixed Price Contracts";#N/A,#N/A,FALSE,"Swap Hedges";#N/A,#N/A,FALSE,"Op Plan";#N/A,#N/A,FALSE,"Trans.";#N/A,#N/A,FALSE,"AcctgInven.";#N/A,#N/A,FALSE,"BOBInven."}</definedName>
    <definedName name="lk" localSheetId="7" hidden="1">{#N/A,#N/A,FALSE,"CoGS (2)";#N/A,#N/A,FALSE,"MtM";#N/A,#N/A,FALSE,"CoG Bdgt &amp; Mkt";#N/A,#N/A,FALSE,"Option Hedges";#N/A,#N/A,FALSE,"Fixed Price Contracts";#N/A,#N/A,FALSE,"Swap Hedges";#N/A,#N/A,FALSE,"Op Plan";#N/A,#N/A,FALSE,"Trans.";#N/A,#N/A,FALSE,"AcctgInven.";#N/A,#N/A,FALSE,"BOBInven."}</definedName>
    <definedName name="lk" hidden="1">{#N/A,#N/A,FALSE,"CoGS (2)";#N/A,#N/A,FALSE,"MtM";#N/A,#N/A,FALSE,"CoG Bdgt &amp; Mkt";#N/A,#N/A,FALSE,"Option Hedges";#N/A,#N/A,FALSE,"Fixed Price Contracts";#N/A,#N/A,FALSE,"Swap Hedges";#N/A,#N/A,FALSE,"Op Plan";#N/A,#N/A,FALSE,"Trans.";#N/A,#N/A,FALSE,"AcctgInven.";#N/A,#N/A,FALSE,"BOBInven."}</definedName>
    <definedName name="newee">#N/A</definedName>
    <definedName name="NGauto" localSheetId="0">' Sch 1.0 COGS Page 1'!NGauto</definedName>
    <definedName name="NGauto" localSheetId="1">' Sch 1.0 COGS Page 2'!NGauto</definedName>
    <definedName name="NGauto" localSheetId="2">' Sch 1.1 Prices Page 1'!NGauto</definedName>
    <definedName name="NGauto" localSheetId="3">' Sch 1.1 Prices Page 2'!NGauto</definedName>
    <definedName name="NGauto" localSheetId="8">' Sch 3.0 Rate '!NGauto</definedName>
    <definedName name="NGauto" localSheetId="4">'Sch 1.2 Storage Page 1 '!NGauto</definedName>
    <definedName name="NGauto" localSheetId="5">'Sch 1.2 Storage Page 2'!NGauto</definedName>
    <definedName name="NGauto" localSheetId="6">'Sch 2.0 (21 Rate App)'!NGauto</definedName>
    <definedName name="NGauto" localSheetId="7">'Sch 2.1 (21 Rate App)'!NGauto</definedName>
    <definedName name="NGauto">[0]!NGauto</definedName>
    <definedName name="_xlnm.Print_Area" localSheetId="0">' Sch 1.0 COGS Page 1'!$B$1:$R$46</definedName>
    <definedName name="_xlnm.Print_Area" localSheetId="1">' Sch 1.0 COGS Page 2'!$B$1:$R$46</definedName>
    <definedName name="_xlnm.Print_Area" localSheetId="2" xml:space="preserve">              ' Sch 1.1 Prices Page 1'!$B$1:$P$40</definedName>
    <definedName name="_xlnm.Print_Area" localSheetId="3" xml:space="preserve">              ' Sch 1.1 Prices Page 2'!$B$1:$P$41</definedName>
    <definedName name="_xlnm.Print_Area" localSheetId="8">' Sch 3.0 Rate '!$A$1:$G$33</definedName>
    <definedName name="_xlnm.Print_Area" localSheetId="4">'Sch 1.2 Storage Page 1 '!$B$1:$R$42</definedName>
    <definedName name="_xlnm.Print_Area" localSheetId="5">'Sch 1.2 Storage Page 2'!$B$1:$R$42</definedName>
    <definedName name="revised" hidden="1">{#N/A,#N/A,FALSE,"CoGS (2)";#N/A,#N/A,FALSE,"MtM";#N/A,#N/A,FALSE,"CoG Bdgt &amp; Mkt";#N/A,#N/A,FALSE,"Option Hedges";#N/A,#N/A,FALSE,"Fixed Price Contracts";#N/A,#N/A,FALSE,"Swap Hedges";#N/A,#N/A,FALSE,"Op Plan";#N/A,#N/A,FALSE,"Trans.";#N/A,#N/A,FALSE,"AcctgInven.";#N/A,#N/A,FALSE,"BOBInven."}</definedName>
    <definedName name="some">#N/A</definedName>
    <definedName name="t">[1]Vol!$B$7</definedName>
    <definedName name="wrn.1997._.COG._.Actual." localSheetId="0" hidden="1">{#N/A,#N/A,FALSE,"CoGS (2)";#N/A,#N/A,FALSE,"MtM";#N/A,#N/A,FALSE,"CoG Bdgt &amp; Mkt";#N/A,#N/A,FALSE,"Option Hedges";#N/A,#N/A,FALSE,"Fixed Price Contracts";#N/A,#N/A,FALSE,"Swap Hedges";#N/A,#N/A,FALSE,"Op Plan";#N/A,#N/A,FALSE,"Trans.";#N/A,#N/A,FALSE,"AcctgInven.";#N/A,#N/A,FALSE,"BOBInven."}</definedName>
    <definedName name="wrn.1997._.COG._.Actual." localSheetId="1" hidden="1">{#N/A,#N/A,FALSE,"CoGS (2)";#N/A,#N/A,FALSE,"MtM";#N/A,#N/A,FALSE,"CoG Bdgt &amp; Mkt";#N/A,#N/A,FALSE,"Option Hedges";#N/A,#N/A,FALSE,"Fixed Price Contracts";#N/A,#N/A,FALSE,"Swap Hedges";#N/A,#N/A,FALSE,"Op Plan";#N/A,#N/A,FALSE,"Trans.";#N/A,#N/A,FALSE,"AcctgInven.";#N/A,#N/A,FALSE,"BOBInven."}</definedName>
    <definedName name="wrn.1997._.COG._.Actual." localSheetId="2" hidden="1">{#N/A,#N/A,FALSE,"CoGS (2)";#N/A,#N/A,FALSE,"MtM";#N/A,#N/A,FALSE,"CoG Bdgt &amp; Mkt";#N/A,#N/A,FALSE,"Option Hedges";#N/A,#N/A,FALSE,"Fixed Price Contracts";#N/A,#N/A,FALSE,"Swap Hedges";#N/A,#N/A,FALSE,"Op Plan";#N/A,#N/A,FALSE,"Trans.";#N/A,#N/A,FALSE,"AcctgInven.";#N/A,#N/A,FALSE,"BOBInven."}</definedName>
    <definedName name="wrn.1997._.COG._.Actual." localSheetId="3" hidden="1">{#N/A,#N/A,FALSE,"CoGS (2)";#N/A,#N/A,FALSE,"MtM";#N/A,#N/A,FALSE,"CoG Bdgt &amp; Mkt";#N/A,#N/A,FALSE,"Option Hedges";#N/A,#N/A,FALSE,"Fixed Price Contracts";#N/A,#N/A,FALSE,"Swap Hedges";#N/A,#N/A,FALSE,"Op Plan";#N/A,#N/A,FALSE,"Trans.";#N/A,#N/A,FALSE,"AcctgInven.";#N/A,#N/A,FALSE,"BOBInven."}</definedName>
    <definedName name="wrn.1997._.COG._.Actual." localSheetId="8" hidden="1">{#N/A,#N/A,FALSE,"CoGS (2)";#N/A,#N/A,FALSE,"MtM";#N/A,#N/A,FALSE,"CoG Bdgt &amp; Mkt";#N/A,#N/A,FALSE,"Option Hedges";#N/A,#N/A,FALSE,"Fixed Price Contracts";#N/A,#N/A,FALSE,"Swap Hedges";#N/A,#N/A,FALSE,"Op Plan";#N/A,#N/A,FALSE,"Trans.";#N/A,#N/A,FALSE,"AcctgInven.";#N/A,#N/A,FALSE,"BOBInven."}</definedName>
    <definedName name="wrn.1997._.COG._.Actual." localSheetId="4" hidden="1">{#N/A,#N/A,FALSE,"CoGS (2)";#N/A,#N/A,FALSE,"MtM";#N/A,#N/A,FALSE,"CoG Bdgt &amp; Mkt";#N/A,#N/A,FALSE,"Option Hedges";#N/A,#N/A,FALSE,"Fixed Price Contracts";#N/A,#N/A,FALSE,"Swap Hedges";#N/A,#N/A,FALSE,"Op Plan";#N/A,#N/A,FALSE,"Trans.";#N/A,#N/A,FALSE,"AcctgInven.";#N/A,#N/A,FALSE,"BOBInven."}</definedName>
    <definedName name="wrn.1997._.COG._.Actual." localSheetId="5" hidden="1">{#N/A,#N/A,FALSE,"CoGS (2)";#N/A,#N/A,FALSE,"MtM";#N/A,#N/A,FALSE,"CoG Bdgt &amp; Mkt";#N/A,#N/A,FALSE,"Option Hedges";#N/A,#N/A,FALSE,"Fixed Price Contracts";#N/A,#N/A,FALSE,"Swap Hedges";#N/A,#N/A,FALSE,"Op Plan";#N/A,#N/A,FALSE,"Trans.";#N/A,#N/A,FALSE,"AcctgInven.";#N/A,#N/A,FALSE,"BOBInven."}</definedName>
    <definedName name="wrn.1997._.COG._.Actual." localSheetId="6" hidden="1">{#N/A,#N/A,FALSE,"CoGS (2)";#N/A,#N/A,FALSE,"MtM";#N/A,#N/A,FALSE,"CoG Bdgt &amp; Mkt";#N/A,#N/A,FALSE,"Option Hedges";#N/A,#N/A,FALSE,"Fixed Price Contracts";#N/A,#N/A,FALSE,"Swap Hedges";#N/A,#N/A,FALSE,"Op Plan";#N/A,#N/A,FALSE,"Trans.";#N/A,#N/A,FALSE,"AcctgInven.";#N/A,#N/A,FALSE,"BOBInven."}</definedName>
    <definedName name="wrn.1997._.COG._.Actual." localSheetId="7" hidden="1">{#N/A,#N/A,FALSE,"CoGS (2)";#N/A,#N/A,FALSE,"MtM";#N/A,#N/A,FALSE,"CoG Bdgt &amp; Mkt";#N/A,#N/A,FALSE,"Option Hedges";#N/A,#N/A,FALSE,"Fixed Price Contracts";#N/A,#N/A,FALSE,"Swap Hedges";#N/A,#N/A,FALSE,"Op Plan";#N/A,#N/A,FALSE,"Trans.";#N/A,#N/A,FALSE,"AcctgInven.";#N/A,#N/A,FALSE,"BOBInven."}</definedName>
    <definedName name="wrn.1997._.COG._.Actual." hidden="1">{#N/A,#N/A,FALSE,"CoGS (2)";#N/A,#N/A,FALSE,"MtM";#N/A,#N/A,FALSE,"CoG Bdgt &amp; Mkt";#N/A,#N/A,FALSE,"Option Hedges";#N/A,#N/A,FALSE,"Fixed Price Contracts";#N/A,#N/A,FALSE,"Swap Hedges";#N/A,#N/A,FALSE,"Op Plan";#N/A,#N/A,FALSE,"Trans.";#N/A,#N/A,FALSE,"AcctgInven.";#N/A,#N/A,FALSE,"BOBInven."}</definedName>
    <definedName name="wrn.Cost._.of._.Gas._.1998." localSheetId="0" hidden="1">{#N/A,#N/A,TRUE,"Sask.Fieldgate Differential";#N/A,#N/A,TRUE,"WAAFP Exposure";#N/A,#N/A,TRUE,"Aeco Exposure 0108";#N/A,#N/A,TRUE,"Empress Exposure";#N/A,#N/A,TRUE,"Fixed Price Contracts";#N/A,#N/A,TRUE,"Fixed Hedges (Swaps)";#N/A,#N/A,TRUE,"op0108 (by price) ";#N/A,#N/A,TRUE,"TEP transport"}</definedName>
    <definedName name="wrn.Cost._.of._.Gas._.1998." localSheetId="1" hidden="1">{#N/A,#N/A,TRUE,"Sask.Fieldgate Differential";#N/A,#N/A,TRUE,"WAAFP Exposure";#N/A,#N/A,TRUE,"Aeco Exposure 0108";#N/A,#N/A,TRUE,"Empress Exposure";#N/A,#N/A,TRUE,"Fixed Price Contracts";#N/A,#N/A,TRUE,"Fixed Hedges (Swaps)";#N/A,#N/A,TRUE,"op0108 (by price) ";#N/A,#N/A,TRUE,"TEP transport"}</definedName>
    <definedName name="wrn.Cost._.of._.Gas._.1998." localSheetId="2" hidden="1">{#N/A,#N/A,TRUE,"Sask.Fieldgate Differential";#N/A,#N/A,TRUE,"WAAFP Exposure";#N/A,#N/A,TRUE,"Aeco Exposure 0108";#N/A,#N/A,TRUE,"Empress Exposure";#N/A,#N/A,TRUE,"Fixed Price Contracts";#N/A,#N/A,TRUE,"Fixed Hedges (Swaps)";#N/A,#N/A,TRUE,"op0108 (by price) ";#N/A,#N/A,TRUE,"TEP transport"}</definedName>
    <definedName name="wrn.Cost._.of._.Gas._.1998." localSheetId="3" hidden="1">{#N/A,#N/A,TRUE,"Sask.Fieldgate Differential";#N/A,#N/A,TRUE,"WAAFP Exposure";#N/A,#N/A,TRUE,"Aeco Exposure 0108";#N/A,#N/A,TRUE,"Empress Exposure";#N/A,#N/A,TRUE,"Fixed Price Contracts";#N/A,#N/A,TRUE,"Fixed Hedges (Swaps)";#N/A,#N/A,TRUE,"op0108 (by price) ";#N/A,#N/A,TRUE,"TEP transport"}</definedName>
    <definedName name="wrn.Cost._.of._.Gas._.1998." localSheetId="8" hidden="1">{#N/A,#N/A,TRUE,"Sask.Fieldgate Differential";#N/A,#N/A,TRUE,"WAAFP Exposure";#N/A,#N/A,TRUE,"Aeco Exposure 0108";#N/A,#N/A,TRUE,"Empress Exposure";#N/A,#N/A,TRUE,"Fixed Price Contracts";#N/A,#N/A,TRUE,"Fixed Hedges (Swaps)";#N/A,#N/A,TRUE,"op0108 (by price) ";#N/A,#N/A,TRUE,"TEP transport"}</definedName>
    <definedName name="wrn.Cost._.of._.Gas._.1998." localSheetId="4" hidden="1">{#N/A,#N/A,TRUE,"Sask.Fieldgate Differential";#N/A,#N/A,TRUE,"WAAFP Exposure";#N/A,#N/A,TRUE,"Aeco Exposure 0108";#N/A,#N/A,TRUE,"Empress Exposure";#N/A,#N/A,TRUE,"Fixed Price Contracts";#N/A,#N/A,TRUE,"Fixed Hedges (Swaps)";#N/A,#N/A,TRUE,"op0108 (by price) ";#N/A,#N/A,TRUE,"TEP transport"}</definedName>
    <definedName name="wrn.Cost._.of._.Gas._.1998." localSheetId="5" hidden="1">{#N/A,#N/A,TRUE,"Sask.Fieldgate Differential";#N/A,#N/A,TRUE,"WAAFP Exposure";#N/A,#N/A,TRUE,"Aeco Exposure 0108";#N/A,#N/A,TRUE,"Empress Exposure";#N/A,#N/A,TRUE,"Fixed Price Contracts";#N/A,#N/A,TRUE,"Fixed Hedges (Swaps)";#N/A,#N/A,TRUE,"op0108 (by price) ";#N/A,#N/A,TRUE,"TEP transport"}</definedName>
    <definedName name="wrn.Cost._.of._.Gas._.1998." localSheetId="6" hidden="1">{#N/A,#N/A,TRUE,"Sask.Fieldgate Differential";#N/A,#N/A,TRUE,"WAAFP Exposure";#N/A,#N/A,TRUE,"Aeco Exposure 0108";#N/A,#N/A,TRUE,"Empress Exposure";#N/A,#N/A,TRUE,"Fixed Price Contracts";#N/A,#N/A,TRUE,"Fixed Hedges (Swaps)";#N/A,#N/A,TRUE,"op0108 (by price) ";#N/A,#N/A,TRUE,"TEP transport"}</definedName>
    <definedName name="wrn.Cost._.of._.Gas._.1998." localSheetId="7" hidden="1">{#N/A,#N/A,TRUE,"Sask.Fieldgate Differential";#N/A,#N/A,TRUE,"WAAFP Exposure";#N/A,#N/A,TRUE,"Aeco Exposure 0108";#N/A,#N/A,TRUE,"Empress Exposure";#N/A,#N/A,TRUE,"Fixed Price Contracts";#N/A,#N/A,TRUE,"Fixed Hedges (Swaps)";#N/A,#N/A,TRUE,"op0108 (by price) ";#N/A,#N/A,TRUE,"TEP transport"}</definedName>
    <definedName name="wrn.Cost._.of._.Gas._.1998." hidden="1">{#N/A,#N/A,TRUE,"Sask.Fieldgate Differential";#N/A,#N/A,TRUE,"WAAFP Exposure";#N/A,#N/A,TRUE,"Aeco Exposure 0108";#N/A,#N/A,TRUE,"Empress Exposure";#N/A,#N/A,TRUE,"Fixed Price Contracts";#N/A,#N/A,TRUE,"Fixed Hedges (Swaps)";#N/A,#N/A,TRUE,"op0108 (by price) ";#N/A,#N/A,TRUE,"TEP transport"}</definedName>
    <definedName name="wrn.Cost._.of._.Gas._.All._.Data." localSheetId="0" hidden="1">{#N/A,#N/A,TRUE,"CoGS";#N/A,#N/A,TRUE,"Option Hedges";#N/A,#N/A,TRUE,"Fixed Price Contracts";#N/A,#N/A,TRUE,"Swap Hedges";#N/A,#N/A,TRUE,"Op Plan";#N/A,#N/A,TRUE,"Trans.";#N/A,#N/A,TRUE,"Inven."}</definedName>
    <definedName name="wrn.Cost._.of._.Gas._.All._.Data." localSheetId="1" hidden="1">{#N/A,#N/A,TRUE,"CoGS";#N/A,#N/A,TRUE,"Option Hedges";#N/A,#N/A,TRUE,"Fixed Price Contracts";#N/A,#N/A,TRUE,"Swap Hedges";#N/A,#N/A,TRUE,"Op Plan";#N/A,#N/A,TRUE,"Trans.";#N/A,#N/A,TRUE,"Inven."}</definedName>
    <definedName name="wrn.Cost._.of._.Gas._.All._.Data." localSheetId="2" hidden="1">{#N/A,#N/A,TRUE,"CoGS";#N/A,#N/A,TRUE,"Option Hedges";#N/A,#N/A,TRUE,"Fixed Price Contracts";#N/A,#N/A,TRUE,"Swap Hedges";#N/A,#N/A,TRUE,"Op Plan";#N/A,#N/A,TRUE,"Trans.";#N/A,#N/A,TRUE,"Inven."}</definedName>
    <definedName name="wrn.Cost._.of._.Gas._.All._.Data." localSheetId="3" hidden="1">{#N/A,#N/A,TRUE,"CoGS";#N/A,#N/A,TRUE,"Option Hedges";#N/A,#N/A,TRUE,"Fixed Price Contracts";#N/A,#N/A,TRUE,"Swap Hedges";#N/A,#N/A,TRUE,"Op Plan";#N/A,#N/A,TRUE,"Trans.";#N/A,#N/A,TRUE,"Inven."}</definedName>
    <definedName name="wrn.Cost._.of._.Gas._.All._.Data." localSheetId="8" hidden="1">{#N/A,#N/A,TRUE,"CoGS";#N/A,#N/A,TRUE,"Option Hedges";#N/A,#N/A,TRUE,"Fixed Price Contracts";#N/A,#N/A,TRUE,"Swap Hedges";#N/A,#N/A,TRUE,"Op Plan";#N/A,#N/A,TRUE,"Trans.";#N/A,#N/A,TRUE,"Inven."}</definedName>
    <definedName name="wrn.Cost._.of._.Gas._.All._.Data." localSheetId="4" hidden="1">{#N/A,#N/A,TRUE,"CoGS";#N/A,#N/A,TRUE,"Option Hedges";#N/A,#N/A,TRUE,"Fixed Price Contracts";#N/A,#N/A,TRUE,"Swap Hedges";#N/A,#N/A,TRUE,"Op Plan";#N/A,#N/A,TRUE,"Trans.";#N/A,#N/A,TRUE,"Inven."}</definedName>
    <definedName name="wrn.Cost._.of._.Gas._.All._.Data." localSheetId="5" hidden="1">{#N/A,#N/A,TRUE,"CoGS";#N/A,#N/A,TRUE,"Option Hedges";#N/A,#N/A,TRUE,"Fixed Price Contracts";#N/A,#N/A,TRUE,"Swap Hedges";#N/A,#N/A,TRUE,"Op Plan";#N/A,#N/A,TRUE,"Trans.";#N/A,#N/A,TRUE,"Inven."}</definedName>
    <definedName name="wrn.Cost._.of._.Gas._.All._.Data." localSheetId="6" hidden="1">{#N/A,#N/A,TRUE,"CoGS";#N/A,#N/A,TRUE,"Option Hedges";#N/A,#N/A,TRUE,"Fixed Price Contracts";#N/A,#N/A,TRUE,"Swap Hedges";#N/A,#N/A,TRUE,"Op Plan";#N/A,#N/A,TRUE,"Trans.";#N/A,#N/A,TRUE,"Inven."}</definedName>
    <definedName name="wrn.Cost._.of._.Gas._.All._.Data." localSheetId="7" hidden="1">{#N/A,#N/A,TRUE,"CoGS";#N/A,#N/A,TRUE,"Option Hedges";#N/A,#N/A,TRUE,"Fixed Price Contracts";#N/A,#N/A,TRUE,"Swap Hedges";#N/A,#N/A,TRUE,"Op Plan";#N/A,#N/A,TRUE,"Trans.";#N/A,#N/A,TRUE,"Inven."}</definedName>
    <definedName name="wrn.Cost._.of._.Gas._.All._.Data." hidden="1">{#N/A,#N/A,TRUE,"CoGS";#N/A,#N/A,TRUE,"Option Hedges";#N/A,#N/A,TRUE,"Fixed Price Contracts";#N/A,#N/A,TRUE,"Swap Hedges";#N/A,#N/A,TRUE,"Op Plan";#N/A,#N/A,TRUE,"Trans.";#N/A,#N/A,TRUE,"Inven."}</definedName>
    <definedName name="xxx" localSheetId="0" hidden="1">{#N/A,#N/A,FALSE,"CoGS (2)";#N/A,#N/A,FALSE,"MtM";#N/A,#N/A,FALSE,"CoG Bdgt &amp; Mkt";#N/A,#N/A,FALSE,"Option Hedges";#N/A,#N/A,FALSE,"Fixed Price Contracts";#N/A,#N/A,FALSE,"Swap Hedges";#N/A,#N/A,FALSE,"Op Plan";#N/A,#N/A,FALSE,"Trans.";#N/A,#N/A,FALSE,"AcctgInven.";#N/A,#N/A,FALSE,"BOBInven."}</definedName>
    <definedName name="xxx" localSheetId="1" hidden="1">{#N/A,#N/A,FALSE,"CoGS (2)";#N/A,#N/A,FALSE,"MtM";#N/A,#N/A,FALSE,"CoG Bdgt &amp; Mkt";#N/A,#N/A,FALSE,"Option Hedges";#N/A,#N/A,FALSE,"Fixed Price Contracts";#N/A,#N/A,FALSE,"Swap Hedges";#N/A,#N/A,FALSE,"Op Plan";#N/A,#N/A,FALSE,"Trans.";#N/A,#N/A,FALSE,"AcctgInven.";#N/A,#N/A,FALSE,"BOBInven."}</definedName>
    <definedName name="xxx" localSheetId="2" hidden="1">{#N/A,#N/A,FALSE,"CoGS (2)";#N/A,#N/A,FALSE,"MtM";#N/A,#N/A,FALSE,"CoG Bdgt &amp; Mkt";#N/A,#N/A,FALSE,"Option Hedges";#N/A,#N/A,FALSE,"Fixed Price Contracts";#N/A,#N/A,FALSE,"Swap Hedges";#N/A,#N/A,FALSE,"Op Plan";#N/A,#N/A,FALSE,"Trans.";#N/A,#N/A,FALSE,"AcctgInven.";#N/A,#N/A,FALSE,"BOBInven."}</definedName>
    <definedName name="xxx" localSheetId="3" hidden="1">{#N/A,#N/A,FALSE,"CoGS (2)";#N/A,#N/A,FALSE,"MtM";#N/A,#N/A,FALSE,"CoG Bdgt &amp; Mkt";#N/A,#N/A,FALSE,"Option Hedges";#N/A,#N/A,FALSE,"Fixed Price Contracts";#N/A,#N/A,FALSE,"Swap Hedges";#N/A,#N/A,FALSE,"Op Plan";#N/A,#N/A,FALSE,"Trans.";#N/A,#N/A,FALSE,"AcctgInven.";#N/A,#N/A,FALSE,"BOBInven."}</definedName>
    <definedName name="xxx" localSheetId="8" hidden="1">{#N/A,#N/A,FALSE,"CoGS (2)";#N/A,#N/A,FALSE,"MtM";#N/A,#N/A,FALSE,"CoG Bdgt &amp; Mkt";#N/A,#N/A,FALSE,"Option Hedges";#N/A,#N/A,FALSE,"Fixed Price Contracts";#N/A,#N/A,FALSE,"Swap Hedges";#N/A,#N/A,FALSE,"Op Plan";#N/A,#N/A,FALSE,"Trans.";#N/A,#N/A,FALSE,"AcctgInven.";#N/A,#N/A,FALSE,"BOBInven."}</definedName>
    <definedName name="xxx" localSheetId="4" hidden="1">{#N/A,#N/A,FALSE,"CoGS (2)";#N/A,#N/A,FALSE,"MtM";#N/A,#N/A,FALSE,"CoG Bdgt &amp; Mkt";#N/A,#N/A,FALSE,"Option Hedges";#N/A,#N/A,FALSE,"Fixed Price Contracts";#N/A,#N/A,FALSE,"Swap Hedges";#N/A,#N/A,FALSE,"Op Plan";#N/A,#N/A,FALSE,"Trans.";#N/A,#N/A,FALSE,"AcctgInven.";#N/A,#N/A,FALSE,"BOBInven."}</definedName>
    <definedName name="xxx" localSheetId="5" hidden="1">{#N/A,#N/A,FALSE,"CoGS (2)";#N/A,#N/A,FALSE,"MtM";#N/A,#N/A,FALSE,"CoG Bdgt &amp; Mkt";#N/A,#N/A,FALSE,"Option Hedges";#N/A,#N/A,FALSE,"Fixed Price Contracts";#N/A,#N/A,FALSE,"Swap Hedges";#N/A,#N/A,FALSE,"Op Plan";#N/A,#N/A,FALSE,"Trans.";#N/A,#N/A,FALSE,"AcctgInven.";#N/A,#N/A,FALSE,"BOBInven."}</definedName>
    <definedName name="xxx" localSheetId="6" hidden="1">{#N/A,#N/A,FALSE,"CoGS (2)";#N/A,#N/A,FALSE,"MtM";#N/A,#N/A,FALSE,"CoG Bdgt &amp; Mkt";#N/A,#N/A,FALSE,"Option Hedges";#N/A,#N/A,FALSE,"Fixed Price Contracts";#N/A,#N/A,FALSE,"Swap Hedges";#N/A,#N/A,FALSE,"Op Plan";#N/A,#N/A,FALSE,"Trans.";#N/A,#N/A,FALSE,"AcctgInven.";#N/A,#N/A,FALSE,"BOBInven."}</definedName>
    <definedName name="xxx" localSheetId="7" hidden="1">{#N/A,#N/A,FALSE,"CoGS (2)";#N/A,#N/A,FALSE,"MtM";#N/A,#N/A,FALSE,"CoG Bdgt &amp; Mkt";#N/A,#N/A,FALSE,"Option Hedges";#N/A,#N/A,FALSE,"Fixed Price Contracts";#N/A,#N/A,FALSE,"Swap Hedges";#N/A,#N/A,FALSE,"Op Plan";#N/A,#N/A,FALSE,"Trans.";#N/A,#N/A,FALSE,"AcctgInven.";#N/A,#N/A,FALSE,"BOBInven."}</definedName>
    <definedName name="xxx" hidden="1">{#N/A,#N/A,FALSE,"CoGS (2)";#N/A,#N/A,FALSE,"MtM";#N/A,#N/A,FALSE,"CoG Bdgt &amp; Mkt";#N/A,#N/A,FALSE,"Option Hedges";#N/A,#N/A,FALSE,"Fixed Price Contracts";#N/A,#N/A,FALSE,"Swap Hedges";#N/A,#N/A,FALSE,"Op Plan";#N/A,#N/A,FALSE,"Trans.";#N/A,#N/A,FALSE,"AcctgInven.";#N/A,#N/A,FALSE,"BOBInven."}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8" i="9" l="1"/>
  <c r="O38" i="9"/>
  <c r="N38" i="9"/>
  <c r="M38" i="9"/>
  <c r="L38" i="9"/>
  <c r="K38" i="9"/>
  <c r="J38" i="9"/>
  <c r="I38" i="9"/>
  <c r="H38" i="9"/>
  <c r="G38" i="9"/>
  <c r="F38" i="9"/>
  <c r="E38" i="9"/>
  <c r="Q39" i="9" s="1"/>
  <c r="Q40" i="9" s="1"/>
  <c r="P37" i="9"/>
  <c r="O37" i="9"/>
  <c r="N37" i="9"/>
  <c r="M37" i="9"/>
  <c r="L37" i="9"/>
  <c r="K37" i="9"/>
  <c r="J37" i="9"/>
  <c r="I37" i="9"/>
  <c r="H37" i="9"/>
  <c r="G37" i="9"/>
  <c r="F37" i="9"/>
  <c r="E37" i="9"/>
  <c r="P35" i="9"/>
  <c r="O35" i="9"/>
  <c r="N35" i="9"/>
  <c r="M35" i="9"/>
  <c r="L35" i="9"/>
  <c r="K35" i="9"/>
  <c r="J35" i="9"/>
  <c r="I35" i="9"/>
  <c r="H35" i="9"/>
  <c r="G35" i="9"/>
  <c r="F35" i="9"/>
  <c r="E35" i="9"/>
  <c r="P34" i="9"/>
  <c r="O34" i="9"/>
  <c r="N34" i="9"/>
  <c r="M34" i="9"/>
  <c r="L34" i="9"/>
  <c r="K34" i="9"/>
  <c r="J34" i="9"/>
  <c r="I34" i="9"/>
  <c r="H34" i="9"/>
  <c r="G34" i="9"/>
  <c r="F34" i="9"/>
  <c r="E34" i="9"/>
  <c r="D34" i="9"/>
  <c r="P28" i="9"/>
  <c r="O28" i="9"/>
  <c r="N28" i="9"/>
  <c r="M28" i="9"/>
  <c r="L28" i="9"/>
  <c r="K28" i="9"/>
  <c r="J28" i="9"/>
  <c r="I28" i="9"/>
  <c r="H28" i="9"/>
  <c r="G28" i="9"/>
  <c r="F28" i="9"/>
  <c r="E28" i="9"/>
  <c r="D28" i="9"/>
  <c r="O22" i="9"/>
  <c r="N22" i="9"/>
  <c r="M22" i="9"/>
  <c r="L22" i="9"/>
  <c r="K22" i="9"/>
  <c r="J22" i="9"/>
  <c r="I22" i="9"/>
  <c r="H22" i="9"/>
  <c r="G22" i="9"/>
  <c r="F22" i="9"/>
  <c r="E22" i="9"/>
  <c r="D22" i="9"/>
  <c r="O20" i="9"/>
  <c r="N20" i="9"/>
  <c r="M20" i="9"/>
  <c r="L20" i="9"/>
  <c r="K20" i="9"/>
  <c r="J20" i="9"/>
  <c r="I20" i="9"/>
  <c r="H20" i="9"/>
  <c r="G20" i="9"/>
  <c r="F20" i="9"/>
  <c r="E20" i="9"/>
  <c r="D20" i="9"/>
  <c r="O19" i="9"/>
  <c r="N19" i="9"/>
  <c r="M19" i="9"/>
  <c r="L19" i="9"/>
  <c r="K19" i="9"/>
  <c r="J19" i="9"/>
  <c r="I19" i="9"/>
  <c r="H19" i="9"/>
  <c r="G19" i="9"/>
  <c r="F19" i="9"/>
  <c r="E19" i="9"/>
  <c r="D19" i="9"/>
  <c r="O16" i="9"/>
  <c r="N16" i="9"/>
  <c r="M16" i="9"/>
  <c r="L16" i="9"/>
  <c r="K16" i="9"/>
  <c r="J16" i="9"/>
  <c r="I16" i="9"/>
  <c r="H16" i="9"/>
  <c r="G16" i="9"/>
  <c r="F16" i="9"/>
  <c r="E16" i="9"/>
  <c r="D16" i="9"/>
  <c r="O15" i="9"/>
  <c r="N15" i="9"/>
  <c r="M15" i="9"/>
  <c r="L15" i="9"/>
  <c r="K15" i="9"/>
  <c r="J15" i="9"/>
  <c r="I15" i="9"/>
  <c r="H15" i="9"/>
  <c r="G15" i="9"/>
  <c r="F15" i="9"/>
  <c r="E15" i="9"/>
  <c r="D15" i="9"/>
  <c r="O14" i="9"/>
  <c r="N14" i="9"/>
  <c r="M14" i="9"/>
  <c r="L14" i="9"/>
  <c r="K14" i="9"/>
  <c r="J14" i="9"/>
  <c r="I14" i="9"/>
  <c r="H14" i="9"/>
  <c r="G14" i="9"/>
  <c r="F14" i="9"/>
  <c r="E14" i="9"/>
  <c r="D14" i="9"/>
  <c r="O12" i="9"/>
  <c r="N12" i="9"/>
  <c r="M12" i="9"/>
  <c r="L12" i="9"/>
  <c r="K12" i="9"/>
  <c r="J12" i="9"/>
  <c r="I12" i="9"/>
  <c r="H12" i="9"/>
  <c r="G12" i="9"/>
  <c r="F12" i="9"/>
  <c r="E12" i="9"/>
  <c r="D12" i="9"/>
  <c r="O11" i="9"/>
  <c r="N11" i="9"/>
  <c r="M11" i="9"/>
  <c r="L11" i="9"/>
  <c r="K11" i="9"/>
  <c r="J11" i="9"/>
  <c r="I11" i="9"/>
  <c r="H11" i="9"/>
  <c r="G11" i="9"/>
  <c r="F11" i="9"/>
  <c r="E11" i="9"/>
  <c r="D11" i="9"/>
  <c r="O7" i="9"/>
  <c r="N7" i="9"/>
  <c r="M7" i="9"/>
  <c r="L7" i="9"/>
  <c r="K7" i="9"/>
  <c r="J7" i="9"/>
  <c r="I7" i="9"/>
  <c r="H7" i="9"/>
  <c r="G7" i="9"/>
  <c r="F7" i="9"/>
  <c r="E7" i="9"/>
  <c r="D7" i="9"/>
  <c r="P42" i="8"/>
  <c r="O42" i="8"/>
  <c r="N42" i="8"/>
  <c r="M42" i="8"/>
  <c r="L42" i="8"/>
  <c r="K42" i="8"/>
  <c r="J42" i="8"/>
  <c r="I42" i="8"/>
  <c r="H42" i="8"/>
  <c r="G42" i="8"/>
  <c r="F42" i="8"/>
  <c r="E42" i="8"/>
  <c r="P39" i="8"/>
  <c r="O39" i="8"/>
  <c r="N39" i="8"/>
  <c r="M39" i="8"/>
  <c r="L39" i="8"/>
  <c r="K39" i="8"/>
  <c r="J39" i="8"/>
  <c r="I39" i="8"/>
  <c r="H39" i="8"/>
  <c r="G39" i="8"/>
  <c r="F39" i="8"/>
  <c r="Q39" i="8" s="1"/>
  <c r="E39" i="8"/>
  <c r="P37" i="8"/>
  <c r="P43" i="8" s="1"/>
  <c r="O37" i="8"/>
  <c r="N37" i="8"/>
  <c r="M37" i="8"/>
  <c r="L37" i="8"/>
  <c r="K37" i="8"/>
  <c r="J37" i="8"/>
  <c r="I37" i="8"/>
  <c r="H37" i="8"/>
  <c r="H43" i="8" s="1"/>
  <c r="G37" i="8"/>
  <c r="F37" i="8"/>
  <c r="E37" i="8"/>
  <c r="P36" i="8"/>
  <c r="O36" i="8"/>
  <c r="M35" i="8"/>
  <c r="I35" i="8"/>
  <c r="E35" i="8"/>
  <c r="P28" i="8"/>
  <c r="O28" i="8"/>
  <c r="N28" i="8"/>
  <c r="M28" i="8"/>
  <c r="L28" i="8"/>
  <c r="K28" i="8"/>
  <c r="J28" i="8"/>
  <c r="I28" i="8"/>
  <c r="H28" i="8"/>
  <c r="G28" i="8"/>
  <c r="Q28" i="8" s="1"/>
  <c r="F28" i="8"/>
  <c r="E28" i="8"/>
  <c r="P26" i="8"/>
  <c r="O26" i="8"/>
  <c r="N26" i="8"/>
  <c r="M26" i="8"/>
  <c r="L26" i="8"/>
  <c r="K26" i="8"/>
  <c r="J26" i="8"/>
  <c r="I26" i="8"/>
  <c r="Q26" i="8" s="1"/>
  <c r="H26" i="8"/>
  <c r="G26" i="8"/>
  <c r="F26" i="8"/>
  <c r="E26" i="8"/>
  <c r="P25" i="8"/>
  <c r="O25" i="8"/>
  <c r="N25" i="8"/>
  <c r="M25" i="8"/>
  <c r="L25" i="8"/>
  <c r="K25" i="8"/>
  <c r="J25" i="8"/>
  <c r="I25" i="8"/>
  <c r="H25" i="8"/>
  <c r="G25" i="8"/>
  <c r="F25" i="8"/>
  <c r="E25" i="8"/>
  <c r="Q25" i="8" s="1"/>
  <c r="P23" i="8"/>
  <c r="O23" i="8"/>
  <c r="N23" i="8"/>
  <c r="M23" i="8"/>
  <c r="L23" i="8"/>
  <c r="K23" i="8"/>
  <c r="J23" i="8"/>
  <c r="I23" i="8"/>
  <c r="H23" i="8"/>
  <c r="Q23" i="8" s="1"/>
  <c r="G23" i="8"/>
  <c r="F23" i="8"/>
  <c r="E23" i="8"/>
  <c r="P22" i="8"/>
  <c r="O22" i="8"/>
  <c r="N22" i="8"/>
  <c r="M22" i="8"/>
  <c r="L22" i="8"/>
  <c r="K22" i="8"/>
  <c r="J22" i="8"/>
  <c r="I22" i="8"/>
  <c r="H22" i="8"/>
  <c r="G22" i="8"/>
  <c r="F22" i="8"/>
  <c r="E22" i="8"/>
  <c r="Q22" i="8" s="1"/>
  <c r="P21" i="8"/>
  <c r="O21" i="8"/>
  <c r="N21" i="8"/>
  <c r="M21" i="8"/>
  <c r="L21" i="8"/>
  <c r="K21" i="8"/>
  <c r="J21" i="8"/>
  <c r="I21" i="8"/>
  <c r="H21" i="8"/>
  <c r="G21" i="8"/>
  <c r="F21" i="8"/>
  <c r="Q21" i="8" s="1"/>
  <c r="E21" i="8"/>
  <c r="P20" i="8"/>
  <c r="O20" i="8"/>
  <c r="N20" i="8"/>
  <c r="M20" i="8"/>
  <c r="L20" i="8"/>
  <c r="K20" i="8"/>
  <c r="J20" i="8"/>
  <c r="I20" i="8"/>
  <c r="H20" i="8"/>
  <c r="G20" i="8"/>
  <c r="Q20" i="8" s="1"/>
  <c r="F20" i="8"/>
  <c r="E20" i="8"/>
  <c r="P19" i="8"/>
  <c r="O19" i="8"/>
  <c r="N19" i="8"/>
  <c r="M19" i="8"/>
  <c r="L19" i="8"/>
  <c r="K19" i="8"/>
  <c r="J19" i="8"/>
  <c r="I19" i="8"/>
  <c r="H19" i="8"/>
  <c r="G19" i="8"/>
  <c r="F19" i="8"/>
  <c r="E19" i="8"/>
  <c r="Q19" i="8" s="1"/>
  <c r="Q18" i="8"/>
  <c r="P18" i="8"/>
  <c r="P41" i="8" s="1"/>
  <c r="O18" i="8"/>
  <c r="O41" i="8" s="1"/>
  <c r="N18" i="8"/>
  <c r="N41" i="8" s="1"/>
  <c r="M18" i="8"/>
  <c r="M41" i="8" s="1"/>
  <c r="M43" i="8" s="1"/>
  <c r="L18" i="8"/>
  <c r="L41" i="8" s="1"/>
  <c r="L43" i="8" s="1"/>
  <c r="K18" i="8"/>
  <c r="K41" i="8" s="1"/>
  <c r="J18" i="8"/>
  <c r="J41" i="8" s="1"/>
  <c r="I18" i="8"/>
  <c r="I41" i="8" s="1"/>
  <c r="I43" i="8" s="1"/>
  <c r="H18" i="8"/>
  <c r="H41" i="8" s="1"/>
  <c r="G18" i="8"/>
  <c r="G41" i="8" s="1"/>
  <c r="F18" i="8"/>
  <c r="F41" i="8" s="1"/>
  <c r="E18" i="8"/>
  <c r="E41" i="8" s="1"/>
  <c r="N17" i="8"/>
  <c r="N40" i="8" s="1"/>
  <c r="F17" i="8"/>
  <c r="F24" i="8" s="1"/>
  <c r="F27" i="8" s="1"/>
  <c r="P16" i="8"/>
  <c r="O16" i="8"/>
  <c r="N16" i="8"/>
  <c r="M16" i="8"/>
  <c r="L16" i="8"/>
  <c r="K16" i="8"/>
  <c r="J16" i="8"/>
  <c r="I16" i="8"/>
  <c r="H16" i="8"/>
  <c r="G16" i="8"/>
  <c r="F16" i="8"/>
  <c r="E16" i="8"/>
  <c r="Q16" i="8" s="1"/>
  <c r="P15" i="8"/>
  <c r="O15" i="8"/>
  <c r="N15" i="8"/>
  <c r="M15" i="8"/>
  <c r="L15" i="8"/>
  <c r="K15" i="8"/>
  <c r="J15" i="8"/>
  <c r="I15" i="8"/>
  <c r="H15" i="8"/>
  <c r="Q15" i="8" s="1"/>
  <c r="G15" i="8"/>
  <c r="F15" i="8"/>
  <c r="E15" i="8"/>
  <c r="P14" i="8"/>
  <c r="O14" i="8"/>
  <c r="N14" i="8"/>
  <c r="M14" i="8"/>
  <c r="M17" i="8" s="1"/>
  <c r="L14" i="8"/>
  <c r="K14" i="8"/>
  <c r="J14" i="8"/>
  <c r="I14" i="8"/>
  <c r="H14" i="8"/>
  <c r="G14" i="8"/>
  <c r="F14" i="8"/>
  <c r="E14" i="8"/>
  <c r="E17" i="8" s="1"/>
  <c r="P13" i="8"/>
  <c r="O13" i="8"/>
  <c r="N13" i="8"/>
  <c r="M13" i="8"/>
  <c r="L13" i="8"/>
  <c r="K13" i="8"/>
  <c r="J13" i="8"/>
  <c r="J17" i="8" s="1"/>
  <c r="I13" i="8"/>
  <c r="H13" i="8"/>
  <c r="G13" i="8"/>
  <c r="F13" i="8"/>
  <c r="Q13" i="8" s="1"/>
  <c r="E13" i="8"/>
  <c r="P12" i="8"/>
  <c r="P17" i="8" s="1"/>
  <c r="O12" i="8"/>
  <c r="O17" i="8" s="1"/>
  <c r="N12" i="8"/>
  <c r="M12" i="8"/>
  <c r="L12" i="8"/>
  <c r="L17" i="8" s="1"/>
  <c r="K12" i="8"/>
  <c r="K17" i="8" s="1"/>
  <c r="J12" i="8"/>
  <c r="I12" i="8"/>
  <c r="I17" i="8" s="1"/>
  <c r="H12" i="8"/>
  <c r="H17" i="8" s="1"/>
  <c r="G12" i="8"/>
  <c r="Q12" i="8" s="1"/>
  <c r="F12" i="8"/>
  <c r="E12" i="8"/>
  <c r="Q11" i="8"/>
  <c r="E11" i="8"/>
  <c r="Q10" i="8"/>
  <c r="E10" i="8"/>
  <c r="P8" i="8"/>
  <c r="P35" i="8" s="1"/>
  <c r="O8" i="8"/>
  <c r="O35" i="8" s="1"/>
  <c r="N8" i="8"/>
  <c r="N35" i="8" s="1"/>
  <c r="M8" i="8"/>
  <c r="L8" i="8"/>
  <c r="L35" i="8" s="1"/>
  <c r="K8" i="8"/>
  <c r="K35" i="8" s="1"/>
  <c r="J8" i="8"/>
  <c r="J35" i="8" s="1"/>
  <c r="I8" i="8"/>
  <c r="H8" i="8"/>
  <c r="H35" i="8" s="1"/>
  <c r="G8" i="8"/>
  <c r="G35" i="8" s="1"/>
  <c r="F8" i="8"/>
  <c r="F35" i="8" s="1"/>
  <c r="E8" i="8"/>
  <c r="H24" i="8" l="1"/>
  <c r="H27" i="8" s="1"/>
  <c r="H40" i="8"/>
  <c r="K24" i="8"/>
  <c r="K27" i="8" s="1"/>
  <c r="K40" i="8"/>
  <c r="Q41" i="8"/>
  <c r="E43" i="8"/>
  <c r="K43" i="8"/>
  <c r="P24" i="8"/>
  <c r="P27" i="8" s="1"/>
  <c r="P40" i="8"/>
  <c r="I24" i="8"/>
  <c r="I27" i="8" s="1"/>
  <c r="I40" i="8"/>
  <c r="J24" i="8"/>
  <c r="J27" i="8" s="1"/>
  <c r="J40" i="8"/>
  <c r="F43" i="8"/>
  <c r="N43" i="8"/>
  <c r="J43" i="8"/>
  <c r="L40" i="8"/>
  <c r="L24" i="8"/>
  <c r="L27" i="8" s="1"/>
  <c r="E40" i="8"/>
  <c r="E24" i="8"/>
  <c r="M40" i="8"/>
  <c r="M24" i="8"/>
  <c r="M27" i="8" s="1"/>
  <c r="Q17" i="8"/>
  <c r="O24" i="8"/>
  <c r="O27" i="8" s="1"/>
  <c r="O40" i="8"/>
  <c r="G43" i="8"/>
  <c r="O43" i="8"/>
  <c r="G17" i="8"/>
  <c r="F40" i="8"/>
  <c r="Q37" i="8"/>
  <c r="N24" i="8"/>
  <c r="N27" i="8" s="1"/>
  <c r="Q14" i="8"/>
  <c r="E27" i="8" l="1"/>
  <c r="G24" i="8"/>
  <c r="G27" i="8" s="1"/>
  <c r="G40" i="8"/>
  <c r="Q43" i="8"/>
  <c r="Q27" i="8" l="1"/>
  <c r="Q29" i="8" s="1"/>
  <c r="E29" i="8"/>
  <c r="F11" i="8" s="1"/>
  <c r="F29" i="8" s="1"/>
  <c r="G11" i="8" s="1"/>
  <c r="G29" i="8" s="1"/>
  <c r="H11" i="8" s="1"/>
  <c r="H29" i="8" s="1"/>
  <c r="I11" i="8" s="1"/>
  <c r="I29" i="8" s="1"/>
  <c r="J11" i="8" s="1"/>
  <c r="J29" i="8" s="1"/>
  <c r="K11" i="8" s="1"/>
  <c r="K29" i="8" s="1"/>
  <c r="L11" i="8" s="1"/>
  <c r="L29" i="8" s="1"/>
  <c r="M11" i="8" s="1"/>
  <c r="M29" i="8" s="1"/>
  <c r="N11" i="8" s="1"/>
  <c r="N29" i="8" s="1"/>
  <c r="O11" i="8" s="1"/>
  <c r="O29" i="8" s="1"/>
  <c r="P11" i="8" s="1"/>
  <c r="P29" i="8" s="1"/>
  <c r="Q24" i="8"/>
  <c r="F24" i="7" l="1"/>
  <c r="F23" i="7"/>
  <c r="F21" i="7"/>
  <c r="D23" i="7" s="1"/>
  <c r="D21" i="7"/>
  <c r="F22" i="7" s="1"/>
  <c r="D15" i="7"/>
  <c r="D13" i="7"/>
  <c r="D12" i="7"/>
  <c r="P38" i="6"/>
  <c r="O38" i="6"/>
  <c r="N38" i="6"/>
  <c r="M38" i="6"/>
  <c r="L38" i="6"/>
  <c r="K38" i="6"/>
  <c r="J38" i="6"/>
  <c r="I38" i="6"/>
  <c r="H38" i="6"/>
  <c r="G38" i="6"/>
  <c r="F38" i="6"/>
  <c r="E38" i="6"/>
  <c r="Q39" i="6" s="1"/>
  <c r="Q40" i="6" s="1"/>
  <c r="P37" i="6"/>
  <c r="O37" i="6"/>
  <c r="N37" i="6"/>
  <c r="M37" i="6"/>
  <c r="L37" i="6"/>
  <c r="K37" i="6"/>
  <c r="J37" i="6"/>
  <c r="I37" i="6"/>
  <c r="H37" i="6"/>
  <c r="G37" i="6"/>
  <c r="F37" i="6"/>
  <c r="E37" i="6"/>
  <c r="P35" i="6"/>
  <c r="O35" i="6"/>
  <c r="N35" i="6"/>
  <c r="M35" i="6"/>
  <c r="L35" i="6"/>
  <c r="K35" i="6"/>
  <c r="J35" i="6"/>
  <c r="I35" i="6"/>
  <c r="H35" i="6"/>
  <c r="G35" i="6"/>
  <c r="F35" i="6"/>
  <c r="E35" i="6"/>
  <c r="P34" i="6"/>
  <c r="O34" i="6"/>
  <c r="N34" i="6"/>
  <c r="M34" i="6"/>
  <c r="L34" i="6"/>
  <c r="K34" i="6"/>
  <c r="J34" i="6"/>
  <c r="I34" i="6"/>
  <c r="H34" i="6"/>
  <c r="G34" i="6"/>
  <c r="F34" i="6"/>
  <c r="E34" i="6"/>
  <c r="D34" i="6"/>
  <c r="P28" i="6"/>
  <c r="O28" i="6"/>
  <c r="N28" i="6"/>
  <c r="M28" i="6"/>
  <c r="L28" i="6"/>
  <c r="K28" i="6"/>
  <c r="J28" i="6"/>
  <c r="I28" i="6"/>
  <c r="H28" i="6"/>
  <c r="G28" i="6"/>
  <c r="F28" i="6"/>
  <c r="E28" i="6"/>
  <c r="D28" i="6"/>
  <c r="O22" i="6"/>
  <c r="N22" i="6"/>
  <c r="M22" i="6"/>
  <c r="L22" i="6"/>
  <c r="K22" i="6"/>
  <c r="J22" i="6"/>
  <c r="I22" i="6"/>
  <c r="H22" i="6"/>
  <c r="G22" i="6"/>
  <c r="F22" i="6"/>
  <c r="E22" i="6"/>
  <c r="D22" i="6"/>
  <c r="O20" i="6"/>
  <c r="N20" i="6"/>
  <c r="M20" i="6"/>
  <c r="L20" i="6"/>
  <c r="K20" i="6"/>
  <c r="J20" i="6"/>
  <c r="I20" i="6"/>
  <c r="H20" i="6"/>
  <c r="G20" i="6"/>
  <c r="F20" i="6"/>
  <c r="E20" i="6"/>
  <c r="D20" i="6"/>
  <c r="O19" i="6"/>
  <c r="N19" i="6"/>
  <c r="M19" i="6"/>
  <c r="L19" i="6"/>
  <c r="K19" i="6"/>
  <c r="J19" i="6"/>
  <c r="I19" i="6"/>
  <c r="H19" i="6"/>
  <c r="G19" i="6"/>
  <c r="F19" i="6"/>
  <c r="E19" i="6"/>
  <c r="D19" i="6"/>
  <c r="O16" i="6"/>
  <c r="N16" i="6"/>
  <c r="M16" i="6"/>
  <c r="L16" i="6"/>
  <c r="K16" i="6"/>
  <c r="J16" i="6"/>
  <c r="I16" i="6"/>
  <c r="H16" i="6"/>
  <c r="G16" i="6"/>
  <c r="F16" i="6"/>
  <c r="E16" i="6"/>
  <c r="D16" i="6"/>
  <c r="O15" i="6"/>
  <c r="N15" i="6"/>
  <c r="M15" i="6"/>
  <c r="L15" i="6"/>
  <c r="K15" i="6"/>
  <c r="J15" i="6"/>
  <c r="I15" i="6"/>
  <c r="H15" i="6"/>
  <c r="G15" i="6"/>
  <c r="F15" i="6"/>
  <c r="E15" i="6"/>
  <c r="D15" i="6"/>
  <c r="O14" i="6"/>
  <c r="N14" i="6"/>
  <c r="M14" i="6"/>
  <c r="L14" i="6"/>
  <c r="K14" i="6"/>
  <c r="J14" i="6"/>
  <c r="I14" i="6"/>
  <c r="H14" i="6"/>
  <c r="G14" i="6"/>
  <c r="F14" i="6"/>
  <c r="E14" i="6"/>
  <c r="D14" i="6"/>
  <c r="O12" i="6"/>
  <c r="N12" i="6"/>
  <c r="M12" i="6"/>
  <c r="L12" i="6"/>
  <c r="K12" i="6"/>
  <c r="J12" i="6"/>
  <c r="I12" i="6"/>
  <c r="H12" i="6"/>
  <c r="G12" i="6"/>
  <c r="F12" i="6"/>
  <c r="E12" i="6"/>
  <c r="D12" i="6"/>
  <c r="O11" i="6"/>
  <c r="N11" i="6"/>
  <c r="M11" i="6"/>
  <c r="L11" i="6"/>
  <c r="K11" i="6"/>
  <c r="J11" i="6"/>
  <c r="I11" i="6"/>
  <c r="H11" i="6"/>
  <c r="G11" i="6"/>
  <c r="F11" i="6"/>
  <c r="E11" i="6"/>
  <c r="D11" i="6"/>
  <c r="O7" i="6"/>
  <c r="N7" i="6"/>
  <c r="M7" i="6"/>
  <c r="L7" i="6"/>
  <c r="K7" i="6"/>
  <c r="J7" i="6"/>
  <c r="I7" i="6"/>
  <c r="H7" i="6"/>
  <c r="G7" i="6"/>
  <c r="F7" i="6"/>
  <c r="E7" i="6"/>
  <c r="D7" i="6"/>
  <c r="P38" i="5"/>
  <c r="O38" i="5"/>
  <c r="N38" i="5"/>
  <c r="M38" i="5"/>
  <c r="L38" i="5"/>
  <c r="K38" i="5"/>
  <c r="J38" i="5"/>
  <c r="I38" i="5"/>
  <c r="Q39" i="5" s="1"/>
  <c r="Q40" i="5" s="1"/>
  <c r="H38" i="5"/>
  <c r="G38" i="5"/>
  <c r="F38" i="5"/>
  <c r="E38" i="5"/>
  <c r="P37" i="5"/>
  <c r="O37" i="5"/>
  <c r="N37" i="5"/>
  <c r="M37" i="5"/>
  <c r="L37" i="5"/>
  <c r="K37" i="5"/>
  <c r="J37" i="5"/>
  <c r="I37" i="5"/>
  <c r="H37" i="5"/>
  <c r="G37" i="5"/>
  <c r="F37" i="5"/>
  <c r="E37" i="5"/>
  <c r="P35" i="5"/>
  <c r="O35" i="5"/>
  <c r="N35" i="5"/>
  <c r="M35" i="5"/>
  <c r="L35" i="5"/>
  <c r="K35" i="5"/>
  <c r="J35" i="5"/>
  <c r="I35" i="5"/>
  <c r="H35" i="5"/>
  <c r="G35" i="5"/>
  <c r="F35" i="5"/>
  <c r="E35" i="5"/>
  <c r="P34" i="5"/>
  <c r="O34" i="5"/>
  <c r="N34" i="5"/>
  <c r="M34" i="5"/>
  <c r="L34" i="5"/>
  <c r="K34" i="5"/>
  <c r="J34" i="5"/>
  <c r="I34" i="5"/>
  <c r="H34" i="5"/>
  <c r="G34" i="5"/>
  <c r="F34" i="5"/>
  <c r="E34" i="5"/>
  <c r="D34" i="5"/>
  <c r="P28" i="5"/>
  <c r="O28" i="5"/>
  <c r="N28" i="5"/>
  <c r="M28" i="5"/>
  <c r="L28" i="5"/>
  <c r="K28" i="5"/>
  <c r="J28" i="5"/>
  <c r="I28" i="5"/>
  <c r="H28" i="5"/>
  <c r="G28" i="5"/>
  <c r="F28" i="5"/>
  <c r="E28" i="5"/>
  <c r="D28" i="5"/>
  <c r="O22" i="5"/>
  <c r="N22" i="5"/>
  <c r="M22" i="5"/>
  <c r="L22" i="5"/>
  <c r="K22" i="5"/>
  <c r="J22" i="5"/>
  <c r="I22" i="5"/>
  <c r="H22" i="5"/>
  <c r="G22" i="5"/>
  <c r="F22" i="5"/>
  <c r="E22" i="5"/>
  <c r="D22" i="5"/>
  <c r="O20" i="5"/>
  <c r="N20" i="5"/>
  <c r="M20" i="5"/>
  <c r="L20" i="5"/>
  <c r="K20" i="5"/>
  <c r="J20" i="5"/>
  <c r="I20" i="5"/>
  <c r="H20" i="5"/>
  <c r="G20" i="5"/>
  <c r="F20" i="5"/>
  <c r="E20" i="5"/>
  <c r="D20" i="5"/>
  <c r="O19" i="5"/>
  <c r="N19" i="5"/>
  <c r="M19" i="5"/>
  <c r="L19" i="5"/>
  <c r="K19" i="5"/>
  <c r="J19" i="5"/>
  <c r="I19" i="5"/>
  <c r="H19" i="5"/>
  <c r="G19" i="5"/>
  <c r="F19" i="5"/>
  <c r="E19" i="5"/>
  <c r="D19" i="5"/>
  <c r="O16" i="5"/>
  <c r="N16" i="5"/>
  <c r="M16" i="5"/>
  <c r="L16" i="5"/>
  <c r="K16" i="5"/>
  <c r="J16" i="5"/>
  <c r="I16" i="5"/>
  <c r="H16" i="5"/>
  <c r="G16" i="5"/>
  <c r="F16" i="5"/>
  <c r="E16" i="5"/>
  <c r="D16" i="5"/>
  <c r="O15" i="5"/>
  <c r="N15" i="5"/>
  <c r="M15" i="5"/>
  <c r="L15" i="5"/>
  <c r="K15" i="5"/>
  <c r="J15" i="5"/>
  <c r="I15" i="5"/>
  <c r="H15" i="5"/>
  <c r="G15" i="5"/>
  <c r="F15" i="5"/>
  <c r="E15" i="5"/>
  <c r="D15" i="5"/>
  <c r="O14" i="5"/>
  <c r="N14" i="5"/>
  <c r="M14" i="5"/>
  <c r="L14" i="5"/>
  <c r="K14" i="5"/>
  <c r="J14" i="5"/>
  <c r="I14" i="5"/>
  <c r="H14" i="5"/>
  <c r="G14" i="5"/>
  <c r="F14" i="5"/>
  <c r="E14" i="5"/>
  <c r="D14" i="5"/>
  <c r="O12" i="5"/>
  <c r="N12" i="5"/>
  <c r="M12" i="5"/>
  <c r="L12" i="5"/>
  <c r="K12" i="5"/>
  <c r="J12" i="5"/>
  <c r="I12" i="5"/>
  <c r="H12" i="5"/>
  <c r="G12" i="5"/>
  <c r="F12" i="5"/>
  <c r="E12" i="5"/>
  <c r="D12" i="5"/>
  <c r="O11" i="5"/>
  <c r="N11" i="5"/>
  <c r="M11" i="5"/>
  <c r="L11" i="5"/>
  <c r="K11" i="5"/>
  <c r="J11" i="5"/>
  <c r="I11" i="5"/>
  <c r="H11" i="5"/>
  <c r="G11" i="5"/>
  <c r="F11" i="5"/>
  <c r="E11" i="5"/>
  <c r="D11" i="5"/>
  <c r="O7" i="5"/>
  <c r="N7" i="5"/>
  <c r="M7" i="5"/>
  <c r="L7" i="5"/>
  <c r="K7" i="5"/>
  <c r="J7" i="5"/>
  <c r="I7" i="5"/>
  <c r="H7" i="5"/>
  <c r="G7" i="5"/>
  <c r="F7" i="5"/>
  <c r="E7" i="5"/>
  <c r="D7" i="5"/>
  <c r="AM30" i="4"/>
  <c r="AL30" i="4"/>
  <c r="AK30" i="4"/>
  <c r="AJ30" i="4"/>
  <c r="AI30" i="4"/>
  <c r="AH30" i="4"/>
  <c r="AG30" i="4"/>
  <c r="AF30" i="4"/>
  <c r="AE30" i="4"/>
  <c r="AD30" i="4"/>
  <c r="AC30" i="4"/>
  <c r="AB30" i="4"/>
  <c r="AA30" i="4"/>
  <c r="Z30" i="4"/>
  <c r="Y30" i="4"/>
  <c r="X30" i="4"/>
  <c r="R30" i="4"/>
  <c r="Q30" i="4"/>
  <c r="W29" i="4"/>
  <c r="V29" i="4"/>
  <c r="U29" i="4"/>
  <c r="T29" i="4"/>
  <c r="S29" i="4"/>
  <c r="M29" i="4"/>
  <c r="W28" i="4"/>
  <c r="V28" i="4"/>
  <c r="U28" i="4"/>
  <c r="T28" i="4"/>
  <c r="S28" i="4"/>
  <c r="V27" i="4"/>
  <c r="V31" i="4" s="1"/>
  <c r="P27" i="4"/>
  <c r="P29" i="4" s="1"/>
  <c r="O27" i="4"/>
  <c r="N27" i="4"/>
  <c r="M27" i="4"/>
  <c r="L27" i="4"/>
  <c r="K27" i="4"/>
  <c r="J27" i="4"/>
  <c r="I27" i="4"/>
  <c r="H27" i="4"/>
  <c r="G27" i="4"/>
  <c r="F27" i="4"/>
  <c r="E27" i="4"/>
  <c r="L25" i="4"/>
  <c r="I24" i="4"/>
  <c r="I22" i="4" s="1"/>
  <c r="H24" i="4"/>
  <c r="H22" i="4" s="1"/>
  <c r="G24" i="4"/>
  <c r="G22" i="4" s="1"/>
  <c r="F24" i="4"/>
  <c r="E24" i="4"/>
  <c r="W23" i="4"/>
  <c r="V23" i="4"/>
  <c r="U23" i="4"/>
  <c r="T23" i="4"/>
  <c r="S23" i="4"/>
  <c r="P23" i="4"/>
  <c r="O23" i="4"/>
  <c r="N23" i="4"/>
  <c r="M23" i="4"/>
  <c r="L23" i="4"/>
  <c r="K23" i="4"/>
  <c r="J23" i="4"/>
  <c r="I23" i="4"/>
  <c r="H23" i="4"/>
  <c r="G23" i="4"/>
  <c r="F23" i="4"/>
  <c r="E23" i="4"/>
  <c r="P22" i="4"/>
  <c r="O22" i="4"/>
  <c r="N22" i="4"/>
  <c r="M22" i="4"/>
  <c r="L22" i="4"/>
  <c r="K22" i="4"/>
  <c r="J22" i="4"/>
  <c r="F22" i="4"/>
  <c r="E22" i="4"/>
  <c r="P21" i="4"/>
  <c r="P25" i="4" s="1"/>
  <c r="M21" i="4"/>
  <c r="M25" i="4" s="1"/>
  <c r="L21" i="4"/>
  <c r="J21" i="4"/>
  <c r="J25" i="4" s="1"/>
  <c r="H21" i="4"/>
  <c r="H25" i="4" s="1"/>
  <c r="H29" i="4" s="1"/>
  <c r="E21" i="4"/>
  <c r="E25" i="4" s="1"/>
  <c r="E29" i="4" s="1"/>
  <c r="U19" i="4"/>
  <c r="S19" i="4"/>
  <c r="P18" i="4"/>
  <c r="O18" i="4"/>
  <c r="O29" i="4" s="1"/>
  <c r="N18" i="4"/>
  <c r="N21" i="4" s="1"/>
  <c r="N25" i="4" s="1"/>
  <c r="M18" i="4"/>
  <c r="L18" i="4"/>
  <c r="L29" i="4" s="1"/>
  <c r="K18" i="4"/>
  <c r="K29" i="4" s="1"/>
  <c r="J18" i="4"/>
  <c r="J29" i="4" s="1"/>
  <c r="I18" i="4"/>
  <c r="I21" i="4" s="1"/>
  <c r="H18" i="4"/>
  <c r="G18" i="4"/>
  <c r="G21" i="4" s="1"/>
  <c r="G25" i="4" s="1"/>
  <c r="G29" i="4" s="1"/>
  <c r="F18" i="4"/>
  <c r="F21" i="4" s="1"/>
  <c r="F25" i="4" s="1"/>
  <c r="F29" i="4" s="1"/>
  <c r="E18" i="4"/>
  <c r="S27" i="4" s="1"/>
  <c r="S30" i="4" s="1"/>
  <c r="P16" i="4"/>
  <c r="O16" i="4"/>
  <c r="N16" i="4"/>
  <c r="M16" i="4"/>
  <c r="L16" i="4"/>
  <c r="K16" i="4"/>
  <c r="J16" i="4"/>
  <c r="I16" i="4"/>
  <c r="H16" i="4"/>
  <c r="G16" i="4"/>
  <c r="F16" i="4"/>
  <c r="E16" i="4"/>
  <c r="P15" i="4"/>
  <c r="O15" i="4"/>
  <c r="O17" i="4" s="1"/>
  <c r="N15" i="4"/>
  <c r="M15" i="4"/>
  <c r="M17" i="4" s="1"/>
  <c r="L15" i="4"/>
  <c r="K15" i="4"/>
  <c r="J15" i="4"/>
  <c r="I15" i="4"/>
  <c r="H15" i="4"/>
  <c r="G15" i="4"/>
  <c r="G17" i="4" s="1"/>
  <c r="F15" i="4"/>
  <c r="E15" i="4"/>
  <c r="E17" i="4" s="1"/>
  <c r="P14" i="4"/>
  <c r="P17" i="4" s="1"/>
  <c r="O14" i="4"/>
  <c r="N14" i="4"/>
  <c r="N17" i="4" s="1"/>
  <c r="M14" i="4"/>
  <c r="L14" i="4"/>
  <c r="L17" i="4" s="1"/>
  <c r="K14" i="4"/>
  <c r="K17" i="4" s="1"/>
  <c r="J14" i="4"/>
  <c r="J17" i="4" s="1"/>
  <c r="I14" i="4"/>
  <c r="I17" i="4" s="1"/>
  <c r="H14" i="4"/>
  <c r="H17" i="4" s="1"/>
  <c r="G14" i="4"/>
  <c r="F14" i="4"/>
  <c r="F17" i="4" s="1"/>
  <c r="E14" i="4"/>
  <c r="P12" i="4"/>
  <c r="O12" i="4"/>
  <c r="N12" i="4"/>
  <c r="M12" i="4"/>
  <c r="L12" i="4"/>
  <c r="K12" i="4"/>
  <c r="J12" i="4"/>
  <c r="I12" i="4"/>
  <c r="H12" i="4"/>
  <c r="G12" i="4"/>
  <c r="F12" i="4"/>
  <c r="E12" i="4"/>
  <c r="P10" i="4"/>
  <c r="O10" i="4"/>
  <c r="N10" i="4"/>
  <c r="M10" i="4"/>
  <c r="L10" i="4"/>
  <c r="K10" i="4"/>
  <c r="J10" i="4"/>
  <c r="I10" i="4"/>
  <c r="W19" i="4" s="1"/>
  <c r="H10" i="4"/>
  <c r="V19" i="4" s="1"/>
  <c r="G10" i="4"/>
  <c r="F10" i="4"/>
  <c r="T19" i="4" s="1"/>
  <c r="E10" i="4"/>
  <c r="AM30" i="3"/>
  <c r="AL30" i="3"/>
  <c r="AK30" i="3"/>
  <c r="AJ30" i="3"/>
  <c r="AI30" i="3"/>
  <c r="AH30" i="3"/>
  <c r="AG30" i="3"/>
  <c r="AF30" i="3"/>
  <c r="AE30" i="3"/>
  <c r="AD30" i="3"/>
  <c r="AC30" i="3"/>
  <c r="AB30" i="3"/>
  <c r="AA30" i="3"/>
  <c r="Z30" i="3"/>
  <c r="Y30" i="3"/>
  <c r="X30" i="3"/>
  <c r="T30" i="3"/>
  <c r="R30" i="3"/>
  <c r="Q30" i="3"/>
  <c r="W29" i="3"/>
  <c r="V29" i="3"/>
  <c r="U29" i="3"/>
  <c r="T29" i="3"/>
  <c r="S29" i="3"/>
  <c r="W28" i="3"/>
  <c r="V28" i="3"/>
  <c r="U28" i="3"/>
  <c r="T28" i="3"/>
  <c r="S28" i="3"/>
  <c r="W27" i="3"/>
  <c r="W31" i="3" s="1"/>
  <c r="T27" i="3"/>
  <c r="T31" i="3" s="1"/>
  <c r="S27" i="3"/>
  <c r="S30" i="3" s="1"/>
  <c r="P27" i="3"/>
  <c r="O27" i="3"/>
  <c r="N27" i="3"/>
  <c r="M27" i="3"/>
  <c r="L27" i="3"/>
  <c r="K27" i="3"/>
  <c r="J27" i="3"/>
  <c r="I27" i="3"/>
  <c r="H27" i="3"/>
  <c r="G27" i="3"/>
  <c r="F27" i="3"/>
  <c r="E27" i="3"/>
  <c r="I25" i="3"/>
  <c r="I29" i="3" s="1"/>
  <c r="I24" i="3"/>
  <c r="H24" i="3"/>
  <c r="H22" i="3" s="1"/>
  <c r="G24" i="3"/>
  <c r="F24" i="3"/>
  <c r="F22" i="3" s="1"/>
  <c r="E24" i="3"/>
  <c r="E22" i="3" s="1"/>
  <c r="W23" i="3"/>
  <c r="V23" i="3"/>
  <c r="U23" i="3"/>
  <c r="T23" i="3"/>
  <c r="S23" i="3"/>
  <c r="S31" i="3" s="1"/>
  <c r="P23" i="3"/>
  <c r="O23" i="3"/>
  <c r="N23" i="3"/>
  <c r="M23" i="3"/>
  <c r="L23" i="3"/>
  <c r="K23" i="3"/>
  <c r="J23" i="3"/>
  <c r="I23" i="3"/>
  <c r="H23" i="3"/>
  <c r="G23" i="3"/>
  <c r="F23" i="3"/>
  <c r="E23" i="3"/>
  <c r="P22" i="3"/>
  <c r="O22" i="3"/>
  <c r="N22" i="3"/>
  <c r="M22" i="3"/>
  <c r="L22" i="3"/>
  <c r="K22" i="3"/>
  <c r="J22" i="3"/>
  <c r="I22" i="3"/>
  <c r="G22" i="3"/>
  <c r="N21" i="3"/>
  <c r="N25" i="3" s="1"/>
  <c r="N29" i="3" s="1"/>
  <c r="K21" i="3"/>
  <c r="K25" i="3" s="1"/>
  <c r="K29" i="3" s="1"/>
  <c r="I21" i="3"/>
  <c r="F21" i="3"/>
  <c r="F25" i="3" s="1"/>
  <c r="F29" i="3" s="1"/>
  <c r="W19" i="3"/>
  <c r="T19" i="3"/>
  <c r="P18" i="3"/>
  <c r="P21" i="3" s="1"/>
  <c r="P25" i="3" s="1"/>
  <c r="P29" i="3" s="1"/>
  <c r="O18" i="3"/>
  <c r="O21" i="3" s="1"/>
  <c r="O25" i="3" s="1"/>
  <c r="O29" i="3" s="1"/>
  <c r="N18" i="3"/>
  <c r="M18" i="3"/>
  <c r="M21" i="3" s="1"/>
  <c r="M25" i="3" s="1"/>
  <c r="M29" i="3" s="1"/>
  <c r="L18" i="3"/>
  <c r="L21" i="3" s="1"/>
  <c r="L25" i="3" s="1"/>
  <c r="L29" i="3" s="1"/>
  <c r="K18" i="3"/>
  <c r="J18" i="3"/>
  <c r="J21" i="3" s="1"/>
  <c r="J25" i="3" s="1"/>
  <c r="J29" i="3" s="1"/>
  <c r="I18" i="3"/>
  <c r="H18" i="3"/>
  <c r="H21" i="3" s="1"/>
  <c r="G18" i="3"/>
  <c r="G21" i="3" s="1"/>
  <c r="G25" i="3" s="1"/>
  <c r="G29" i="3" s="1"/>
  <c r="F18" i="3"/>
  <c r="E18" i="3"/>
  <c r="E21" i="3" s="1"/>
  <c r="E25" i="3" s="1"/>
  <c r="E29" i="3" s="1"/>
  <c r="P16" i="3"/>
  <c r="O16" i="3"/>
  <c r="N16" i="3"/>
  <c r="M16" i="3"/>
  <c r="L16" i="3"/>
  <c r="K16" i="3"/>
  <c r="J16" i="3"/>
  <c r="I16" i="3"/>
  <c r="H16" i="3"/>
  <c r="G16" i="3"/>
  <c r="F16" i="3"/>
  <c r="E16" i="3"/>
  <c r="P15" i="3"/>
  <c r="P17" i="3" s="1"/>
  <c r="O15" i="3"/>
  <c r="N15" i="3"/>
  <c r="N17" i="3" s="1"/>
  <c r="M15" i="3"/>
  <c r="L15" i="3"/>
  <c r="K15" i="3"/>
  <c r="K17" i="3" s="1"/>
  <c r="J15" i="3"/>
  <c r="I15" i="3"/>
  <c r="I17" i="3" s="1"/>
  <c r="H15" i="3"/>
  <c r="H17" i="3" s="1"/>
  <c r="G15" i="3"/>
  <c r="F15" i="3"/>
  <c r="F17" i="3" s="1"/>
  <c r="E15" i="3"/>
  <c r="P14" i="3"/>
  <c r="O14" i="3"/>
  <c r="O17" i="3" s="1"/>
  <c r="N14" i="3"/>
  <c r="M14" i="3"/>
  <c r="M17" i="3" s="1"/>
  <c r="L14" i="3"/>
  <c r="L17" i="3" s="1"/>
  <c r="K14" i="3"/>
  <c r="J14" i="3"/>
  <c r="J17" i="3" s="1"/>
  <c r="I14" i="3"/>
  <c r="H14" i="3"/>
  <c r="G14" i="3"/>
  <c r="G17" i="3" s="1"/>
  <c r="F14" i="3"/>
  <c r="E14" i="3"/>
  <c r="E17" i="3" s="1"/>
  <c r="P12" i="3"/>
  <c r="O12" i="3"/>
  <c r="N12" i="3"/>
  <c r="M12" i="3"/>
  <c r="L12" i="3"/>
  <c r="K12" i="3"/>
  <c r="J12" i="3"/>
  <c r="I12" i="3"/>
  <c r="H12" i="3"/>
  <c r="G12" i="3"/>
  <c r="F12" i="3"/>
  <c r="E12" i="3"/>
  <c r="P10" i="3"/>
  <c r="O10" i="3"/>
  <c r="N10" i="3"/>
  <c r="M10" i="3"/>
  <c r="L10" i="3"/>
  <c r="K10" i="3"/>
  <c r="J10" i="3"/>
  <c r="I10" i="3"/>
  <c r="H10" i="3"/>
  <c r="V19" i="3" s="1"/>
  <c r="G10" i="3"/>
  <c r="U19" i="3" s="1"/>
  <c r="F10" i="3"/>
  <c r="E10" i="3"/>
  <c r="S19" i="3" s="1"/>
  <c r="P42" i="2"/>
  <c r="O42" i="2"/>
  <c r="N42" i="2"/>
  <c r="M42" i="2"/>
  <c r="L42" i="2"/>
  <c r="K42" i="2"/>
  <c r="J42" i="2"/>
  <c r="I42" i="2"/>
  <c r="H42" i="2"/>
  <c r="G42" i="2"/>
  <c r="F42" i="2"/>
  <c r="E42" i="2"/>
  <c r="P41" i="2"/>
  <c r="H41" i="2"/>
  <c r="P39" i="2"/>
  <c r="O39" i="2"/>
  <c r="N39" i="2"/>
  <c r="M39" i="2"/>
  <c r="L39" i="2"/>
  <c r="K39" i="2"/>
  <c r="J39" i="2"/>
  <c r="I39" i="2"/>
  <c r="Q39" i="2" s="1"/>
  <c r="H39" i="2"/>
  <c r="G39" i="2"/>
  <c r="F39" i="2"/>
  <c r="E39" i="2"/>
  <c r="P38" i="2"/>
  <c r="O38" i="2"/>
  <c r="N38" i="2"/>
  <c r="M38" i="2"/>
  <c r="L38" i="2"/>
  <c r="K38" i="2"/>
  <c r="J38" i="2"/>
  <c r="I38" i="2"/>
  <c r="H38" i="2"/>
  <c r="G38" i="2"/>
  <c r="F38" i="2"/>
  <c r="E38" i="2"/>
  <c r="P37" i="2"/>
  <c r="P43" i="2" s="1"/>
  <c r="O37" i="2"/>
  <c r="N37" i="2"/>
  <c r="N43" i="2" s="1"/>
  <c r="M37" i="2"/>
  <c r="L37" i="2"/>
  <c r="K37" i="2"/>
  <c r="J37" i="2"/>
  <c r="J43" i="2" s="1"/>
  <c r="I37" i="2"/>
  <c r="I43" i="2" s="1"/>
  <c r="H37" i="2"/>
  <c r="H43" i="2" s="1"/>
  <c r="G37" i="2"/>
  <c r="F37" i="2"/>
  <c r="F43" i="2" s="1"/>
  <c r="E37" i="2"/>
  <c r="Q37" i="2" s="1"/>
  <c r="N35" i="2"/>
  <c r="F35" i="2"/>
  <c r="P26" i="2"/>
  <c r="O26" i="2"/>
  <c r="N26" i="2"/>
  <c r="M26" i="2"/>
  <c r="L26" i="2"/>
  <c r="K26" i="2"/>
  <c r="J26" i="2"/>
  <c r="I26" i="2"/>
  <c r="H26" i="2"/>
  <c r="G26" i="2"/>
  <c r="Q26" i="2" s="1"/>
  <c r="F26" i="2"/>
  <c r="E26" i="2"/>
  <c r="P24" i="2"/>
  <c r="O24" i="2"/>
  <c r="N24" i="2"/>
  <c r="M24" i="2"/>
  <c r="L24" i="2"/>
  <c r="K24" i="2"/>
  <c r="J24" i="2"/>
  <c r="I24" i="2"/>
  <c r="H24" i="2"/>
  <c r="G24" i="2"/>
  <c r="F24" i="2"/>
  <c r="E24" i="2"/>
  <c r="Q24" i="2" s="1"/>
  <c r="P22" i="2"/>
  <c r="O22" i="2"/>
  <c r="N22" i="2"/>
  <c r="M22" i="2"/>
  <c r="L22" i="2"/>
  <c r="K22" i="2"/>
  <c r="J22" i="2"/>
  <c r="I22" i="2"/>
  <c r="H22" i="2"/>
  <c r="G22" i="2"/>
  <c r="F22" i="2"/>
  <c r="E22" i="2"/>
  <c r="Q22" i="2" s="1"/>
  <c r="Q21" i="2"/>
  <c r="P21" i="2"/>
  <c r="O21" i="2"/>
  <c r="N21" i="2"/>
  <c r="M21" i="2"/>
  <c r="L21" i="2"/>
  <c r="K21" i="2"/>
  <c r="J21" i="2"/>
  <c r="I21" i="2"/>
  <c r="H21" i="2"/>
  <c r="G21" i="2"/>
  <c r="F21" i="2"/>
  <c r="E21" i="2"/>
  <c r="P20" i="2"/>
  <c r="O20" i="2"/>
  <c r="N20" i="2"/>
  <c r="M20" i="2"/>
  <c r="L20" i="2"/>
  <c r="K20" i="2"/>
  <c r="J20" i="2"/>
  <c r="I20" i="2"/>
  <c r="H20" i="2"/>
  <c r="G20" i="2"/>
  <c r="F20" i="2"/>
  <c r="E20" i="2"/>
  <c r="Q20" i="2" s="1"/>
  <c r="P19" i="2"/>
  <c r="O19" i="2"/>
  <c r="N19" i="2"/>
  <c r="M19" i="2"/>
  <c r="L19" i="2"/>
  <c r="K19" i="2"/>
  <c r="J19" i="2"/>
  <c r="I19" i="2"/>
  <c r="H19" i="2"/>
  <c r="G19" i="2"/>
  <c r="F19" i="2"/>
  <c r="E19" i="2"/>
  <c r="Q19" i="2" s="1"/>
  <c r="P18" i="2"/>
  <c r="O18" i="2"/>
  <c r="N18" i="2"/>
  <c r="M18" i="2"/>
  <c r="L18" i="2"/>
  <c r="K18" i="2"/>
  <c r="J18" i="2"/>
  <c r="I18" i="2"/>
  <c r="H18" i="2"/>
  <c r="G18" i="2"/>
  <c r="F18" i="2"/>
  <c r="E18" i="2"/>
  <c r="Q18" i="2" s="1"/>
  <c r="P17" i="2"/>
  <c r="O17" i="2"/>
  <c r="O41" i="2" s="1"/>
  <c r="O43" i="2" s="1"/>
  <c r="N17" i="2"/>
  <c r="N41" i="2" s="1"/>
  <c r="M17" i="2"/>
  <c r="M41" i="2" s="1"/>
  <c r="L17" i="2"/>
  <c r="L41" i="2" s="1"/>
  <c r="K17" i="2"/>
  <c r="K41" i="2" s="1"/>
  <c r="J17" i="2"/>
  <c r="J41" i="2" s="1"/>
  <c r="I17" i="2"/>
  <c r="I41" i="2" s="1"/>
  <c r="H17" i="2"/>
  <c r="G17" i="2"/>
  <c r="G41" i="2" s="1"/>
  <c r="G43" i="2" s="1"/>
  <c r="F17" i="2"/>
  <c r="F41" i="2" s="1"/>
  <c r="E17" i="2"/>
  <c r="E41" i="2" s="1"/>
  <c r="J16" i="2"/>
  <c r="J40" i="2" s="1"/>
  <c r="P15" i="2"/>
  <c r="O15" i="2"/>
  <c r="N15" i="2"/>
  <c r="M15" i="2"/>
  <c r="L15" i="2"/>
  <c r="K15" i="2"/>
  <c r="J15" i="2"/>
  <c r="I15" i="2"/>
  <c r="H15" i="2"/>
  <c r="G15" i="2"/>
  <c r="F15" i="2"/>
  <c r="E15" i="2"/>
  <c r="Q15" i="2" s="1"/>
  <c r="P14" i="2"/>
  <c r="O14" i="2"/>
  <c r="N14" i="2"/>
  <c r="M14" i="2"/>
  <c r="L14" i="2"/>
  <c r="K14" i="2"/>
  <c r="J14" i="2"/>
  <c r="I14" i="2"/>
  <c r="H14" i="2"/>
  <c r="G14" i="2"/>
  <c r="F14" i="2"/>
  <c r="E14" i="2"/>
  <c r="Q14" i="2" s="1"/>
  <c r="P13" i="2"/>
  <c r="O13" i="2"/>
  <c r="N13" i="2"/>
  <c r="M13" i="2"/>
  <c r="L13" i="2"/>
  <c r="K13" i="2"/>
  <c r="J13" i="2"/>
  <c r="I13" i="2"/>
  <c r="Q13" i="2" s="1"/>
  <c r="H13" i="2"/>
  <c r="G13" i="2"/>
  <c r="F13" i="2"/>
  <c r="E13" i="2"/>
  <c r="P12" i="2"/>
  <c r="P16" i="2" s="1"/>
  <c r="O12" i="2"/>
  <c r="O16" i="2" s="1"/>
  <c r="N12" i="2"/>
  <c r="N16" i="2" s="1"/>
  <c r="M12" i="2"/>
  <c r="M16" i="2" s="1"/>
  <c r="L12" i="2"/>
  <c r="L16" i="2" s="1"/>
  <c r="K12" i="2"/>
  <c r="K16" i="2" s="1"/>
  <c r="J12" i="2"/>
  <c r="I12" i="2"/>
  <c r="I16" i="2" s="1"/>
  <c r="H12" i="2"/>
  <c r="H16" i="2" s="1"/>
  <c r="G12" i="2"/>
  <c r="G16" i="2" s="1"/>
  <c r="F12" i="2"/>
  <c r="F16" i="2" s="1"/>
  <c r="E12" i="2"/>
  <c r="E16" i="2" s="1"/>
  <c r="P11" i="2"/>
  <c r="O11" i="2"/>
  <c r="N11" i="2"/>
  <c r="M11" i="2"/>
  <c r="L11" i="2"/>
  <c r="K11" i="2"/>
  <c r="J11" i="2"/>
  <c r="I11" i="2"/>
  <c r="H11" i="2"/>
  <c r="G11" i="2"/>
  <c r="F11" i="2"/>
  <c r="E10" i="2"/>
  <c r="E11" i="2" s="1"/>
  <c r="P8" i="2"/>
  <c r="P35" i="2" s="1"/>
  <c r="O8" i="2"/>
  <c r="O35" i="2" s="1"/>
  <c r="N8" i="2"/>
  <c r="M8" i="2"/>
  <c r="M35" i="2" s="1"/>
  <c r="L8" i="2"/>
  <c r="L35" i="2" s="1"/>
  <c r="K8" i="2"/>
  <c r="K35" i="2" s="1"/>
  <c r="J8" i="2"/>
  <c r="J35" i="2" s="1"/>
  <c r="I8" i="2"/>
  <c r="I35" i="2" s="1"/>
  <c r="H8" i="2"/>
  <c r="H35" i="2" s="1"/>
  <c r="G8" i="2"/>
  <c r="G35" i="2" s="1"/>
  <c r="F8" i="2"/>
  <c r="E8" i="2"/>
  <c r="E35" i="2" s="1"/>
  <c r="P42" i="1"/>
  <c r="O42" i="1"/>
  <c r="N42" i="1"/>
  <c r="N41" i="1" s="1"/>
  <c r="M42" i="1"/>
  <c r="L42" i="1"/>
  <c r="K42" i="1"/>
  <c r="J42" i="1"/>
  <c r="I42" i="1"/>
  <c r="H42" i="1"/>
  <c r="G42" i="1"/>
  <c r="F42" i="1"/>
  <c r="F41" i="1" s="1"/>
  <c r="E42" i="1"/>
  <c r="L41" i="1"/>
  <c r="K41" i="1"/>
  <c r="K43" i="1" s="1"/>
  <c r="P39" i="1"/>
  <c r="O39" i="1"/>
  <c r="N39" i="1"/>
  <c r="M39" i="1"/>
  <c r="L39" i="1"/>
  <c r="K39" i="1"/>
  <c r="J39" i="1"/>
  <c r="I39" i="1"/>
  <c r="H39" i="1"/>
  <c r="G39" i="1"/>
  <c r="F39" i="1"/>
  <c r="E39" i="1"/>
  <c r="Q39" i="1" s="1"/>
  <c r="P38" i="1"/>
  <c r="O38" i="1"/>
  <c r="N38" i="1"/>
  <c r="M38" i="1"/>
  <c r="L38" i="1"/>
  <c r="K38" i="1"/>
  <c r="J38" i="1"/>
  <c r="I38" i="1"/>
  <c r="H38" i="1"/>
  <c r="G38" i="1"/>
  <c r="F38" i="1"/>
  <c r="E38" i="1"/>
  <c r="P37" i="1"/>
  <c r="O37" i="1"/>
  <c r="N37" i="1"/>
  <c r="M37" i="1"/>
  <c r="L37" i="1"/>
  <c r="L43" i="1" s="1"/>
  <c r="K37" i="1"/>
  <c r="J37" i="1"/>
  <c r="I37" i="1"/>
  <c r="H37" i="1"/>
  <c r="G37" i="1"/>
  <c r="F37" i="1"/>
  <c r="E37" i="1"/>
  <c r="Q37" i="1" s="1"/>
  <c r="I35" i="1"/>
  <c r="P26" i="1"/>
  <c r="O26" i="1"/>
  <c r="N26" i="1"/>
  <c r="M26" i="1"/>
  <c r="L26" i="1"/>
  <c r="K26" i="1"/>
  <c r="J26" i="1"/>
  <c r="I26" i="1"/>
  <c r="H26" i="1"/>
  <c r="G26" i="1"/>
  <c r="F26" i="1"/>
  <c r="E26" i="1"/>
  <c r="Q26" i="1" s="1"/>
  <c r="P24" i="1"/>
  <c r="O24" i="1"/>
  <c r="N24" i="1"/>
  <c r="M24" i="1"/>
  <c r="L24" i="1"/>
  <c r="K24" i="1"/>
  <c r="J24" i="1"/>
  <c r="I24" i="1"/>
  <c r="H24" i="1"/>
  <c r="G24" i="1"/>
  <c r="F24" i="1"/>
  <c r="E24" i="1"/>
  <c r="Q24" i="1" s="1"/>
  <c r="P22" i="1"/>
  <c r="O22" i="1"/>
  <c r="N22" i="1"/>
  <c r="M22" i="1"/>
  <c r="L22" i="1"/>
  <c r="K22" i="1"/>
  <c r="J22" i="1"/>
  <c r="I22" i="1"/>
  <c r="H22" i="1"/>
  <c r="G22" i="1"/>
  <c r="F22" i="1"/>
  <c r="E22" i="1"/>
  <c r="Q22" i="1" s="1"/>
  <c r="P21" i="1"/>
  <c r="O21" i="1"/>
  <c r="N21" i="1"/>
  <c r="M21" i="1"/>
  <c r="L21" i="1"/>
  <c r="K21" i="1"/>
  <c r="J21" i="1"/>
  <c r="I21" i="1"/>
  <c r="H21" i="1"/>
  <c r="G21" i="1"/>
  <c r="F21" i="1"/>
  <c r="E21" i="1"/>
  <c r="Q21" i="1" s="1"/>
  <c r="P20" i="1"/>
  <c r="O20" i="1"/>
  <c r="N20" i="1"/>
  <c r="M20" i="1"/>
  <c r="L20" i="1"/>
  <c r="K20" i="1"/>
  <c r="J20" i="1"/>
  <c r="I20" i="1"/>
  <c r="Q20" i="1" s="1"/>
  <c r="H20" i="1"/>
  <c r="G20" i="1"/>
  <c r="F20" i="1"/>
  <c r="E20" i="1"/>
  <c r="P19" i="1"/>
  <c r="O19" i="1"/>
  <c r="N19" i="1"/>
  <c r="M19" i="1"/>
  <c r="L19" i="1"/>
  <c r="K19" i="1"/>
  <c r="J19" i="1"/>
  <c r="I19" i="1"/>
  <c r="H19" i="1"/>
  <c r="G19" i="1"/>
  <c r="F19" i="1"/>
  <c r="Q19" i="1" s="1"/>
  <c r="E19" i="1"/>
  <c r="P18" i="1"/>
  <c r="O18" i="1"/>
  <c r="N18" i="1"/>
  <c r="M18" i="1"/>
  <c r="L18" i="1"/>
  <c r="K18" i="1"/>
  <c r="J18" i="1"/>
  <c r="I18" i="1"/>
  <c r="H18" i="1"/>
  <c r="G18" i="1"/>
  <c r="F18" i="1"/>
  <c r="E18" i="1"/>
  <c r="Q18" i="1" s="1"/>
  <c r="P17" i="1"/>
  <c r="P41" i="1" s="1"/>
  <c r="O17" i="1"/>
  <c r="O41" i="1" s="1"/>
  <c r="N17" i="1"/>
  <c r="M17" i="1"/>
  <c r="M41" i="1" s="1"/>
  <c r="L17" i="1"/>
  <c r="K17" i="1"/>
  <c r="J17" i="1"/>
  <c r="J41" i="1" s="1"/>
  <c r="J43" i="1" s="1"/>
  <c r="I17" i="1"/>
  <c r="I41" i="1" s="1"/>
  <c r="H17" i="1"/>
  <c r="H41" i="1" s="1"/>
  <c r="G17" i="1"/>
  <c r="G41" i="1" s="1"/>
  <c r="F17" i="1"/>
  <c r="E17" i="1"/>
  <c r="E41" i="1" s="1"/>
  <c r="Q41" i="1" s="1"/>
  <c r="N16" i="1"/>
  <c r="N40" i="1" s="1"/>
  <c r="M16" i="1"/>
  <c r="M40" i="1" s="1"/>
  <c r="F16" i="1"/>
  <c r="F40" i="1" s="1"/>
  <c r="E16" i="1"/>
  <c r="E40" i="1" s="1"/>
  <c r="P15" i="1"/>
  <c r="O15" i="1"/>
  <c r="N15" i="1"/>
  <c r="M15" i="1"/>
  <c r="L15" i="1"/>
  <c r="K15" i="1"/>
  <c r="J15" i="1"/>
  <c r="I15" i="1"/>
  <c r="H15" i="1"/>
  <c r="G15" i="1"/>
  <c r="F15" i="1"/>
  <c r="E15" i="1"/>
  <c r="Q15" i="1" s="1"/>
  <c r="P14" i="1"/>
  <c r="P16" i="1" s="1"/>
  <c r="O14" i="1"/>
  <c r="N14" i="1"/>
  <c r="M14" i="1"/>
  <c r="L14" i="1"/>
  <c r="K14" i="1"/>
  <c r="J14" i="1"/>
  <c r="I14" i="1"/>
  <c r="H14" i="1"/>
  <c r="H16" i="1" s="1"/>
  <c r="G14" i="1"/>
  <c r="F14" i="1"/>
  <c r="E14" i="1"/>
  <c r="Q14" i="1" s="1"/>
  <c r="P13" i="1"/>
  <c r="O13" i="1"/>
  <c r="N13" i="1"/>
  <c r="M13" i="1"/>
  <c r="L13" i="1"/>
  <c r="K13" i="1"/>
  <c r="J13" i="1"/>
  <c r="I13" i="1"/>
  <c r="H13" i="1"/>
  <c r="G13" i="1"/>
  <c r="F13" i="1"/>
  <c r="E13" i="1"/>
  <c r="Q13" i="1" s="1"/>
  <c r="P12" i="1"/>
  <c r="O12" i="1"/>
  <c r="O16" i="1" s="1"/>
  <c r="N12" i="1"/>
  <c r="M12" i="1"/>
  <c r="L12" i="1"/>
  <c r="L16" i="1" s="1"/>
  <c r="K12" i="1"/>
  <c r="K16" i="1" s="1"/>
  <c r="J12" i="1"/>
  <c r="J16" i="1" s="1"/>
  <c r="I12" i="1"/>
  <c r="I16" i="1" s="1"/>
  <c r="H12" i="1"/>
  <c r="G12" i="1"/>
  <c r="G16" i="1" s="1"/>
  <c r="F12" i="1"/>
  <c r="E12" i="1"/>
  <c r="P11" i="1"/>
  <c r="O11" i="1"/>
  <c r="N11" i="1"/>
  <c r="M11" i="1"/>
  <c r="L11" i="1"/>
  <c r="K11" i="1"/>
  <c r="J11" i="1"/>
  <c r="I11" i="1"/>
  <c r="H11" i="1"/>
  <c r="G11" i="1"/>
  <c r="F11" i="1"/>
  <c r="E11" i="1"/>
  <c r="E10" i="1"/>
  <c r="P8" i="1"/>
  <c r="P35" i="1" s="1"/>
  <c r="O8" i="1"/>
  <c r="O35" i="1" s="1"/>
  <c r="N8" i="1"/>
  <c r="N35" i="1" s="1"/>
  <c r="M8" i="1"/>
  <c r="M35" i="1" s="1"/>
  <c r="L8" i="1"/>
  <c r="L35" i="1" s="1"/>
  <c r="K8" i="1"/>
  <c r="K35" i="1" s="1"/>
  <c r="J8" i="1"/>
  <c r="J35" i="1" s="1"/>
  <c r="I8" i="1"/>
  <c r="H8" i="1"/>
  <c r="H35" i="1" s="1"/>
  <c r="G8" i="1"/>
  <c r="G35" i="1" s="1"/>
  <c r="F8" i="1"/>
  <c r="F35" i="1" s="1"/>
  <c r="E8" i="1"/>
  <c r="E35" i="1" s="1"/>
  <c r="D14" i="7" l="1"/>
  <c r="D16" i="7" s="1"/>
  <c r="D18" i="7" s="1"/>
  <c r="D19" i="7" s="1"/>
  <c r="I12" i="7"/>
  <c r="S31" i="4"/>
  <c r="I25" i="4"/>
  <c r="I29" i="4" s="1"/>
  <c r="W31" i="4"/>
  <c r="K21" i="4"/>
  <c r="K25" i="4" s="1"/>
  <c r="V30" i="4"/>
  <c r="T27" i="4"/>
  <c r="T30" i="4" s="1"/>
  <c r="U27" i="4"/>
  <c r="U30" i="4" s="1"/>
  <c r="N29" i="4"/>
  <c r="O21" i="4"/>
  <c r="O25" i="4" s="1"/>
  <c r="W27" i="4"/>
  <c r="W30" i="4" s="1"/>
  <c r="V31" i="3"/>
  <c r="H25" i="3"/>
  <c r="H29" i="3" s="1"/>
  <c r="W30" i="3"/>
  <c r="U27" i="3"/>
  <c r="U30" i="3" s="1"/>
  <c r="V27" i="3"/>
  <c r="V30" i="3" s="1"/>
  <c r="M40" i="2"/>
  <c r="M23" i="2"/>
  <c r="M25" i="2" s="1"/>
  <c r="M27" i="2"/>
  <c r="F27" i="2"/>
  <c r="K40" i="2"/>
  <c r="K23" i="2"/>
  <c r="K25" i="2" s="1"/>
  <c r="K27" i="2" s="1"/>
  <c r="I23" i="2"/>
  <c r="I25" i="2" s="1"/>
  <c r="I27" i="2" s="1"/>
  <c r="I40" i="2"/>
  <c r="H27" i="2"/>
  <c r="P27" i="2"/>
  <c r="Q27" i="2" s="1"/>
  <c r="L40" i="2"/>
  <c r="L23" i="2"/>
  <c r="L25" i="2" s="1"/>
  <c r="F40" i="2"/>
  <c r="F23" i="2"/>
  <c r="F25" i="2" s="1"/>
  <c r="Q41" i="2"/>
  <c r="G23" i="2"/>
  <c r="G25" i="2" s="1"/>
  <c r="G27" i="2" s="1"/>
  <c r="G40" i="2"/>
  <c r="O23" i="2"/>
  <c r="O25" i="2" s="1"/>
  <c r="O27" i="2" s="1"/>
  <c r="O40" i="2"/>
  <c r="K43" i="2"/>
  <c r="E40" i="2"/>
  <c r="Q16" i="2"/>
  <c r="E23" i="2"/>
  <c r="N40" i="2"/>
  <c r="N23" i="2"/>
  <c r="N25" i="2" s="1"/>
  <c r="N27" i="2" s="1"/>
  <c r="L27" i="2"/>
  <c r="H23" i="2"/>
  <c r="H25" i="2" s="1"/>
  <c r="H40" i="2"/>
  <c r="P23" i="2"/>
  <c r="P25" i="2" s="1"/>
  <c r="P40" i="2"/>
  <c r="L43" i="2"/>
  <c r="M43" i="2"/>
  <c r="Q12" i="2"/>
  <c r="J23" i="2"/>
  <c r="J25" i="2" s="1"/>
  <c r="J27" i="2" s="1"/>
  <c r="Q17" i="2"/>
  <c r="E43" i="2"/>
  <c r="I23" i="1"/>
  <c r="I25" i="1" s="1"/>
  <c r="I27" i="1" s="1"/>
  <c r="I40" i="1"/>
  <c r="K40" i="1"/>
  <c r="K23" i="1"/>
  <c r="K25" i="1" s="1"/>
  <c r="F43" i="1"/>
  <c r="L40" i="1"/>
  <c r="L23" i="1"/>
  <c r="L25" i="1" s="1"/>
  <c r="L27" i="1" s="1"/>
  <c r="P43" i="1"/>
  <c r="J27" i="1"/>
  <c r="I43" i="1"/>
  <c r="G43" i="1"/>
  <c r="O23" i="1"/>
  <c r="O25" i="1" s="1"/>
  <c r="O27" i="1" s="1"/>
  <c r="O40" i="1"/>
  <c r="M27" i="1"/>
  <c r="J23" i="1"/>
  <c r="J25" i="1" s="1"/>
  <c r="J40" i="1"/>
  <c r="M43" i="1"/>
  <c r="N43" i="1"/>
  <c r="P27" i="1"/>
  <c r="Q27" i="1" s="1"/>
  <c r="O43" i="1"/>
  <c r="H43" i="1"/>
  <c r="K27" i="1"/>
  <c r="G23" i="1"/>
  <c r="G25" i="1" s="1"/>
  <c r="G27" i="1" s="1"/>
  <c r="G40" i="1"/>
  <c r="H23" i="1"/>
  <c r="H25" i="1" s="1"/>
  <c r="H27" i="1" s="1"/>
  <c r="H40" i="1"/>
  <c r="P23" i="1"/>
  <c r="P25" i="1" s="1"/>
  <c r="P40" i="1"/>
  <c r="Q12" i="1"/>
  <c r="Q17" i="1"/>
  <c r="E23" i="1"/>
  <c r="M23" i="1"/>
  <c r="M25" i="1" s="1"/>
  <c r="E43" i="1"/>
  <c r="Q16" i="1"/>
  <c r="F23" i="1"/>
  <c r="F25" i="1" s="1"/>
  <c r="F27" i="1" s="1"/>
  <c r="N23" i="1"/>
  <c r="N25" i="1" s="1"/>
  <c r="N27" i="1" s="1"/>
  <c r="T31" i="4" l="1"/>
  <c r="U31" i="4"/>
  <c r="U31" i="3"/>
  <c r="Q23" i="2"/>
  <c r="E25" i="2"/>
  <c r="Q43" i="2"/>
  <c r="Q23" i="1"/>
  <c r="E25" i="1"/>
  <c r="Q43" i="1"/>
  <c r="Q25" i="2" l="1"/>
  <c r="E27" i="2"/>
  <c r="Q25" i="1"/>
  <c r="E27" i="1"/>
</calcChain>
</file>

<file path=xl/sharedStrings.xml><?xml version="1.0" encoding="utf-8"?>
<sst xmlns="http://schemas.openxmlformats.org/spreadsheetml/2006/main" count="300" uniqueCount="139">
  <si>
    <t>Schedule 1.0</t>
  </si>
  <si>
    <t>SaskEnergy Incorporated</t>
  </si>
  <si>
    <t>Forecast Cost of Gas Sold ($000's)</t>
  </si>
  <si>
    <t>November 1, 2021 - October 31, 2022</t>
  </si>
  <si>
    <t>TOTAL</t>
  </si>
  <si>
    <t>Line</t>
  </si>
  <si>
    <t>Description</t>
  </si>
  <si>
    <t>GCVA Balance Forward at October 31, 2021</t>
  </si>
  <si>
    <t>Opening Cumulative GCVA Balance - Under/(Over) Recovery</t>
  </si>
  <si>
    <t>Saskatchewan Purchases</t>
  </si>
  <si>
    <t>Alberta Purchases</t>
  </si>
  <si>
    <t>Price Risk Management (Inflows)/Outflows</t>
  </si>
  <si>
    <t>Costs upstream of TEP</t>
  </si>
  <si>
    <t xml:space="preserve">     Cost of Purchase Gas</t>
  </si>
  <si>
    <t>Storage Withdrawal (Injection)</t>
  </si>
  <si>
    <t>Gas in Storage Interest Expense</t>
  </si>
  <si>
    <t>Gas Supply Operating Maintenance &amp; Admin Expenses</t>
  </si>
  <si>
    <t>Gas Supply Related Bad Debt Expense</t>
  </si>
  <si>
    <t>Less Gas Supply Related Late Payment Charges</t>
  </si>
  <si>
    <t>Less Cost of Internal Usage</t>
  </si>
  <si>
    <t xml:space="preserve">     Cost of Gas Sold</t>
  </si>
  <si>
    <t xml:space="preserve">     Commodity Sales Revenue (Current Rate $2.575/GJ) </t>
  </si>
  <si>
    <t>Period GCVA Balance</t>
  </si>
  <si>
    <t>Period GCVA Interest</t>
  </si>
  <si>
    <t>Closing Cumulative GCVA Balance (Line 1+14+15)</t>
  </si>
  <si>
    <t>Volume (Gigajoules - 000s)</t>
  </si>
  <si>
    <t>Customer Sales</t>
  </si>
  <si>
    <t>Commodity Rate (GJ)</t>
  </si>
  <si>
    <t>Purchases (less Fuel Gas &amp; Line Loss)</t>
  </si>
  <si>
    <t>Cost of Purchase Gas (GJ)</t>
  </si>
  <si>
    <t>Storage Withdrawal (Injection) Rate (GJ)</t>
  </si>
  <si>
    <t>Internal Usage</t>
  </si>
  <si>
    <t>Note:  Numbers may not add up exact due to rounding.</t>
  </si>
  <si>
    <t>November 1, 2022 - October 31, 2023</t>
  </si>
  <si>
    <t>GCVA Balance Forward at October 31, 2022</t>
  </si>
  <si>
    <t xml:space="preserve">     Commodity Sales Revenue (Current Rate $6.959/GJ) </t>
  </si>
  <si>
    <t>Schedule 1.1</t>
  </si>
  <si>
    <t>Forecast Gas Prices for</t>
  </si>
  <si>
    <t>Closing Prices as of September 23, 2021</t>
  </si>
  <si>
    <t>$/Gigajoule</t>
  </si>
  <si>
    <t>AECO Forward Prices</t>
  </si>
  <si>
    <t>COST OF PURCHASE GAS</t>
  </si>
  <si>
    <t>Cost of Purchase Gas Before Financial Hedges</t>
  </si>
  <si>
    <t>Change in Price due to Financial Hedges</t>
  </si>
  <si>
    <t>Receipt Transport</t>
  </si>
  <si>
    <t>Forecast Cost of Purchase Gas</t>
  </si>
  <si>
    <t>Volume Adjusted Cost of Purchase Gas</t>
  </si>
  <si>
    <t>ADJUSTMENT FOR INVENTORY WITHDRAWAL:</t>
  </si>
  <si>
    <t>COST OF GAS SOLD</t>
  </si>
  <si>
    <t>Purchase Price</t>
  </si>
  <si>
    <t>% of Sales met with Purchases</t>
  </si>
  <si>
    <t>Inventory Withdrawal Price</t>
  </si>
  <si>
    <t>Purchase Volume</t>
  </si>
  <si>
    <t>% of Sales met with Inventory</t>
  </si>
  <si>
    <t>Cost of Gas Sold before OM&amp;A</t>
  </si>
  <si>
    <t>Interest, OM&amp;A and Bad Debt Expense</t>
  </si>
  <si>
    <t xml:space="preserve">     Less Late Payment Charges</t>
  </si>
  <si>
    <t>Inventory Draw</t>
  </si>
  <si>
    <t xml:space="preserve">Forecast Cost of Gas Sold </t>
  </si>
  <si>
    <t>Inventory Price</t>
  </si>
  <si>
    <t>Cost of Gas Sold</t>
  </si>
  <si>
    <t>The volume of purchase gas has been adjusted for Fuel Gas and Line Loss.</t>
  </si>
  <si>
    <t>Interest, OM&amp;A, Bad Debt Expense and Late Payment Charges are budgeted annually and calculated as equal monthly expenses. Due to the varying monthly sales volumes, the impact on the Cost of Gas Sold will be minimal during months where sales volumes are high and considerably greater when sales volumes are low.</t>
  </si>
  <si>
    <t>Schedule 1.2</t>
  </si>
  <si>
    <t>Storage Inventory Details - Forecasted Cost of Gas</t>
  </si>
  <si>
    <t>Gas in Storage - Volume</t>
  </si>
  <si>
    <t xml:space="preserve">Opening Balance (000's GJs) </t>
  </si>
  <si>
    <t>Closing Balance (000's GJs)</t>
  </si>
  <si>
    <t>(Injections)/ Withdrawals (000's GJs)</t>
  </si>
  <si>
    <t>(Injection)/Withdrawal Price</t>
  </si>
  <si>
    <t>Weighted Average Price of Gas in Storage</t>
  </si>
  <si>
    <t>Cost of Gas in Storage</t>
  </si>
  <si>
    <t>Opening Balance ($000)</t>
  </si>
  <si>
    <t>Closing Balance ($000)</t>
  </si>
  <si>
    <t>Net Change in Inventory ($000)</t>
  </si>
  <si>
    <t>Storage Inventory Carrying Costs</t>
  </si>
  <si>
    <t>&lt;------   Previous Summer   ------&gt;</t>
  </si>
  <si>
    <t>Gas in Storage Closing Balance</t>
  </si>
  <si>
    <t>Average Daily Balance</t>
  </si>
  <si>
    <t>Interest Rate</t>
  </si>
  <si>
    <t>Calculated Monthly Interest Charge</t>
  </si>
  <si>
    <t>Total Annual Interest</t>
  </si>
  <si>
    <t>Amortized Monthly Interest Charge</t>
  </si>
  <si>
    <t>Tables might not add precisely due to rounding.</t>
  </si>
  <si>
    <t>&lt;------   Summer   ------&gt;</t>
  </si>
  <si>
    <t>Schedule 3.0</t>
  </si>
  <si>
    <t>Determination of Commodity Rate for</t>
  </si>
  <si>
    <t>November 1, 2021 to October 31, 2023</t>
  </si>
  <si>
    <t>Amount</t>
  </si>
  <si>
    <t>Ref.</t>
  </si>
  <si>
    <t>GCVA/GJ</t>
  </si>
  <si>
    <t>Estimated Balance of GCVA at October 31, 2021 (000's)</t>
  </si>
  <si>
    <t>Schedule 2.0, Col. 12, Line 20</t>
  </si>
  <si>
    <t>November 2021 to October 2023 Gas Cost Forecast (000's)</t>
  </si>
  <si>
    <t>Schedule 1.0: (P1, Col. 13, Line 12) + (P2, Col. 13, Line 12)</t>
  </si>
  <si>
    <t>Total Forecast Costs to Recover (000's)</t>
  </si>
  <si>
    <t xml:space="preserve"> Line 1 plus Line 2</t>
  </si>
  <si>
    <t>November 2021 to October 2023 Forecast Sales (GJs - 000's)</t>
  </si>
  <si>
    <t>Schedule 1.0: (P1, Col. 13, Line 13) + (P2, Col. 13, Line 13)</t>
  </si>
  <si>
    <t>November 2021 to October 2023 Monthly Weighted Cost per Unit of Sales</t>
  </si>
  <si>
    <t xml:space="preserve"> Line 3 divided by Line 4</t>
  </si>
  <si>
    <t>Indicative Two Year Commodity Rate</t>
  </si>
  <si>
    <r>
      <t>Customer Commodity Rate Equivalent (Heating Value = 39.90 MJ/m</t>
    </r>
    <r>
      <rPr>
        <vertAlign val="superscript"/>
        <sz val="10"/>
        <rFont val="Open Sans"/>
        <family val="2"/>
      </rPr>
      <t>3</t>
    </r>
    <r>
      <rPr>
        <sz val="10"/>
        <rFont val="Open Sans"/>
        <family val="2"/>
      </rPr>
      <t>)</t>
    </r>
  </si>
  <si>
    <t>cents per cubic metre</t>
  </si>
  <si>
    <t>Current Commodity Rate</t>
  </si>
  <si>
    <t>Deadband Range (+/-2% of Current Commodity Rate)</t>
  </si>
  <si>
    <t>to</t>
  </si>
  <si>
    <t>No Rate Change</t>
  </si>
  <si>
    <t>Commodity Rate Decrease (&lt;2% of Current Commodity Rate)</t>
  </si>
  <si>
    <t>&lt;</t>
  </si>
  <si>
    <t>Rate Decrease (Summary Application Required)</t>
  </si>
  <si>
    <t>Commodity Rate Increase (+2-5% of Current Commodity Rate)</t>
  </si>
  <si>
    <t>Rate Increase (Summary Application Required)</t>
  </si>
  <si>
    <t>Commodity Rate Increase (&gt;5% of Current Commodity Rate)</t>
  </si>
  <si>
    <t>&gt;</t>
  </si>
  <si>
    <t>Rate Increase (Detailed Application Required)</t>
  </si>
  <si>
    <t>Notes:</t>
  </si>
  <si>
    <t>1.  Numbers might not add precisely due to rounding.</t>
  </si>
  <si>
    <t xml:space="preserve">2. SaskEnergy purchases natural gas on an energy basis (GJs) and bills its customers on a volume basis (cubic metres).  The Heating Value  </t>
  </si>
  <si>
    <t xml:space="preserve">    used to convert energy to volume is a forecast based on the previous average volume-weighted twelve months.</t>
  </si>
  <si>
    <t>3. The methodology is designed to target a zero GCVA balance at the end of the two year period (November 2021 - October 2023).</t>
  </si>
  <si>
    <t>Schedule 2.0</t>
  </si>
  <si>
    <t>Gas Cost Variance Account ($000's)</t>
  </si>
  <si>
    <t>November 1, 2020 - October 31, 2021</t>
  </si>
  <si>
    <t>Forecast</t>
  </si>
  <si>
    <t>GCVA Balance Forward at October 31, 2020</t>
  </si>
  <si>
    <t>Purchases - Alberta</t>
  </si>
  <si>
    <t>Purchases - Saskatchewan</t>
  </si>
  <si>
    <t>Less Purchase of Other Gas Sales</t>
  </si>
  <si>
    <t>Transportation</t>
  </si>
  <si>
    <t xml:space="preserve">     Commodity Sales Revenue ($2.575/GJ) </t>
  </si>
  <si>
    <t>Gain (loss) on other gas sales</t>
  </si>
  <si>
    <t>Closing Cumulative GCVA Balance (Line 2+18+19)</t>
  </si>
  <si>
    <t>hide</t>
  </si>
  <si>
    <t>Cost of Purchase Gas ($/GJ)</t>
  </si>
  <si>
    <t>Storage Withdrawal (Injection) Rate ($/GJ)</t>
  </si>
  <si>
    <t>Schedule 2.1</t>
  </si>
  <si>
    <t>Storage Inventory Details - Gas Cost Variance Account</t>
  </si>
  <si>
    <t>November 1, 2020 to October 31,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</si>
</sst>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6" formatCode="&quot;$&quot;#,##0_);[Red]\(&quot;$&quot;#,##0\)"/>
    <numFmt numFmtId="164" formatCode="&quot;$&quot;#,##0"/>
    <numFmt numFmtId="165" formatCode="&quot;$&quot;#,##0.000"/>
    <numFmt numFmtId="166" formatCode="_-* #,##0.00_-;\-* #,##0.00_-;_-* &quot;-&quot;??_-;_-@_-"/>
    <numFmt numFmtId="167" formatCode="_-* #,##0.000_-;\-* #,##0.000_-;_-* &quot;-&quot;??_-;_-@_-"/>
    <numFmt numFmtId="168" formatCode="0.000_);\(0.000\)"/>
    <numFmt numFmtId="169" formatCode="0.0%"/>
    <numFmt numFmtId="170" formatCode="_-&quot;$&quot;* #,##0.00_-;\-&quot;$&quot;* #,##0.00_-;_-&quot;$&quot;* &quot;-&quot;??_-;_-@_-"/>
    <numFmt numFmtId="171" formatCode="_-&quot;$&quot;* #,##0.000_-;\-&quot;$&quot;* #,##0.000_-;_-&quot;$&quot;* &quot;-&quot;??_-;_-@_-"/>
    <numFmt numFmtId="172" formatCode="0.000"/>
    <numFmt numFmtId="173" formatCode="_-&quot;$&quot;* #,##0_-;\-&quot;$&quot;* #,##0_-;_-&quot;$&quot;* &quot;-&quot;??_-;_-@_-"/>
    <numFmt numFmtId="174" formatCode="#,###_-;\(#,###\)"/>
    <numFmt numFmtId="175" formatCode="&quot;$&quot;#,##0.00"/>
    <numFmt numFmtId="176" formatCode="_(&quot;$&quot;* #,##0_);_(&quot;$&quot;* \(#,##0\);_(&quot;$&quot;* &quot;-&quot;??_);_(@_)"/>
    <numFmt numFmtId="177" formatCode="_-* #,##0_-;\-* #,##0_-;_-* &quot;-&quot;??_-;_-@_-"/>
    <numFmt numFmtId="178" formatCode="&quot;$&quot;#,##0.000_);\(&quot;$&quot;#,##0.000\)"/>
  </numFmts>
  <fonts count="24" x14ac:knownFonts="1">
    <font>
      <sz val="11"/>
      <color theme="1"/>
      <name val="Calibri"/>
      <family val="2"/>
      <scheme val="minor"/>
    </font>
    <font>
      <sz val="10"/>
      <name val="Arial"/>
      <family val="2"/>
    </font>
    <font>
      <sz val="10"/>
      <name val="Open Sans"/>
      <family val="2"/>
    </font>
    <font>
      <u/>
      <sz val="10"/>
      <name val="Open Sans"/>
      <family val="2"/>
    </font>
    <font>
      <b/>
      <sz val="18"/>
      <name val="Open Sans"/>
      <family val="2"/>
    </font>
    <font>
      <b/>
      <sz val="16"/>
      <name val="Open Sans"/>
      <family val="2"/>
    </font>
    <font>
      <sz val="12"/>
      <name val="Open Sans"/>
      <family val="2"/>
    </font>
    <font>
      <b/>
      <sz val="12"/>
      <name val="Open Sans"/>
      <family val="2"/>
    </font>
    <font>
      <b/>
      <sz val="14"/>
      <name val="Open Sans"/>
      <family val="2"/>
    </font>
    <font>
      <b/>
      <sz val="10"/>
      <name val="Open Sans"/>
      <family val="2"/>
    </font>
    <font>
      <sz val="8"/>
      <name val="Open Sans"/>
      <family val="2"/>
    </font>
    <font>
      <sz val="10"/>
      <color rgb="FFFF0000"/>
      <name val="Open Sans"/>
      <family val="2"/>
    </font>
    <font>
      <sz val="8"/>
      <name val="Arial"/>
      <family val="2"/>
    </font>
    <font>
      <sz val="10"/>
      <color indexed="10"/>
      <name val="Open Sans"/>
      <family val="2"/>
    </font>
    <font>
      <sz val="10"/>
      <color indexed="9"/>
      <name val="Open Sans"/>
      <family val="2"/>
    </font>
    <font>
      <sz val="8"/>
      <name val="Arial"/>
    </font>
    <font>
      <b/>
      <i/>
      <sz val="10"/>
      <name val="Open Sans"/>
      <family val="2"/>
    </font>
    <font>
      <b/>
      <i/>
      <sz val="8"/>
      <name val="Open Sans"/>
      <family val="2"/>
    </font>
    <font>
      <b/>
      <sz val="8"/>
      <name val="Open Sans"/>
      <family val="2"/>
    </font>
    <font>
      <sz val="8"/>
      <name val="Century Gothic"/>
      <family val="2"/>
    </font>
    <font>
      <b/>
      <sz val="8"/>
      <color indexed="10"/>
      <name val="Open Sans"/>
      <family val="2"/>
    </font>
    <font>
      <i/>
      <sz val="8"/>
      <name val="Open Sans"/>
      <family val="2"/>
    </font>
    <font>
      <vertAlign val="superscript"/>
      <sz val="10"/>
      <name val="Open Sans"/>
      <family val="2"/>
    </font>
    <font>
      <sz val="10"/>
      <color theme="0"/>
      <name val="Open Sans"/>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32">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0" fontId="1" fillId="0" borderId="0"/>
    <xf numFmtId="166" fontId="12" fillId="0" borderId="0" applyFont="0" applyFill="0" applyBorder="0" applyAlignment="0" applyProtection="0"/>
    <xf numFmtId="9" fontId="12" fillId="0" borderId="0" applyFont="0" applyFill="0" applyBorder="0" applyAlignment="0" applyProtection="0"/>
    <xf numFmtId="170" fontId="12" fillId="0" borderId="0" applyFont="0" applyFill="0" applyBorder="0" applyAlignment="0" applyProtection="0"/>
    <xf numFmtId="0" fontId="15" fillId="0" borderId="0"/>
    <xf numFmtId="0" fontId="12" fillId="0" borderId="0"/>
  </cellStyleXfs>
  <cellXfs count="295">
    <xf numFmtId="0" fontId="0" fillId="0" borderId="0" xfId="0"/>
    <xf numFmtId="0" fontId="2" fillId="2" borderId="0" xfId="1" applyFont="1" applyFill="1" applyBorder="1"/>
    <xf numFmtId="0" fontId="3" fillId="2" borderId="0" xfId="1" applyFont="1" applyFill="1"/>
    <xf numFmtId="0" fontId="4" fillId="2" borderId="0" xfId="1" applyFont="1" applyFill="1" applyBorder="1" applyAlignment="1">
      <alignment horizontal="right"/>
    </xf>
    <xf numFmtId="0" fontId="2" fillId="2" borderId="0" xfId="1" applyFont="1" applyFill="1"/>
    <xf numFmtId="0" fontId="2" fillId="0" borderId="0" xfId="1" applyFont="1"/>
    <xf numFmtId="0" fontId="2" fillId="2" borderId="1" xfId="1" applyFont="1" applyFill="1" applyBorder="1"/>
    <xf numFmtId="0" fontId="6" fillId="2" borderId="1" xfId="1" applyFont="1" applyFill="1" applyBorder="1"/>
    <xf numFmtId="0" fontId="6" fillId="2" borderId="0" xfId="1" applyFont="1" applyFill="1"/>
    <xf numFmtId="0" fontId="6" fillId="0" borderId="0" xfId="1" applyFont="1"/>
    <xf numFmtId="0" fontId="2" fillId="2" borderId="0" xfId="1" applyFont="1" applyFill="1" applyBorder="1" applyAlignment="1">
      <alignment horizontal="center"/>
    </xf>
    <xf numFmtId="0" fontId="2" fillId="2" borderId="0" xfId="1" applyFont="1" applyFill="1" applyAlignment="1">
      <alignment horizontal="center"/>
    </xf>
    <xf numFmtId="0" fontId="9" fillId="3" borderId="2" xfId="1" applyFont="1" applyFill="1" applyBorder="1"/>
    <xf numFmtId="0" fontId="9" fillId="3" borderId="3" xfId="1" applyFont="1" applyFill="1" applyBorder="1"/>
    <xf numFmtId="17" fontId="9" fillId="3" borderId="3" xfId="1" applyNumberFormat="1" applyFont="1" applyFill="1" applyBorder="1" applyAlignment="1">
      <alignment horizontal="center"/>
    </xf>
    <xf numFmtId="17" fontId="9" fillId="3" borderId="4" xfId="1" applyNumberFormat="1" applyFont="1" applyFill="1" applyBorder="1" applyAlignment="1">
      <alignment horizontal="center"/>
    </xf>
    <xf numFmtId="0" fontId="9" fillId="3" borderId="5" xfId="1" applyFont="1" applyFill="1" applyBorder="1" applyAlignment="1">
      <alignment horizontal="center"/>
    </xf>
    <xf numFmtId="0" fontId="9" fillId="3" borderId="6" xfId="1" applyFont="1" applyFill="1" applyBorder="1" applyAlignment="1">
      <alignment horizontal="center"/>
    </xf>
    <xf numFmtId="0" fontId="9" fillId="3" borderId="6" xfId="1" applyFont="1" applyFill="1" applyBorder="1" applyAlignment="1">
      <alignment horizontal="center" wrapText="1"/>
    </xf>
    <xf numFmtId="0" fontId="9" fillId="3" borderId="7"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left"/>
    </xf>
    <xf numFmtId="5" fontId="2" fillId="2" borderId="6" xfId="1" applyNumberFormat="1" applyFont="1" applyFill="1" applyBorder="1"/>
    <xf numFmtId="0" fontId="9" fillId="2" borderId="6" xfId="1" applyFont="1" applyFill="1" applyBorder="1" applyAlignment="1">
      <alignment horizontal="center" wrapText="1"/>
    </xf>
    <xf numFmtId="0" fontId="9" fillId="2" borderId="6" xfId="1" applyFont="1" applyFill="1" applyBorder="1" applyAlignment="1">
      <alignment horizontal="center"/>
    </xf>
    <xf numFmtId="0" fontId="9" fillId="2" borderId="7" xfId="1" applyFont="1" applyFill="1" applyBorder="1" applyAlignment="1">
      <alignment horizontal="center"/>
    </xf>
    <xf numFmtId="0" fontId="2" fillId="2" borderId="8" xfId="1" applyFont="1" applyFill="1" applyBorder="1" applyAlignment="1">
      <alignment horizontal="center"/>
    </xf>
    <xf numFmtId="0" fontId="2" fillId="2" borderId="9" xfId="1" applyFont="1" applyFill="1" applyBorder="1"/>
    <xf numFmtId="0" fontId="2" fillId="2" borderId="6" xfId="1" applyFont="1" applyFill="1" applyBorder="1"/>
    <xf numFmtId="6" fontId="2" fillId="2" borderId="6" xfId="1" applyNumberFormat="1" applyFont="1" applyFill="1" applyBorder="1"/>
    <xf numFmtId="6" fontId="2" fillId="2" borderId="10" xfId="1" applyNumberFormat="1" applyFont="1" applyFill="1" applyBorder="1"/>
    <xf numFmtId="6" fontId="2" fillId="2" borderId="7" xfId="1" applyNumberFormat="1" applyFont="1" applyFill="1" applyBorder="1"/>
    <xf numFmtId="0" fontId="2" fillId="2" borderId="1" xfId="1" applyFont="1" applyFill="1" applyBorder="1" applyAlignment="1">
      <alignment horizontal="center"/>
    </xf>
    <xf numFmtId="6" fontId="2" fillId="2" borderId="0" xfId="1" applyNumberFormat="1" applyFont="1" applyFill="1" applyBorder="1"/>
    <xf numFmtId="6" fontId="2" fillId="2" borderId="11" xfId="1" applyNumberFormat="1" applyFont="1" applyFill="1" applyBorder="1"/>
    <xf numFmtId="6" fontId="2" fillId="2" borderId="12" xfId="1" applyNumberFormat="1" applyFont="1" applyFill="1" applyBorder="1"/>
    <xf numFmtId="5" fontId="2" fillId="2" borderId="11" xfId="1" applyNumberFormat="1" applyFont="1" applyFill="1" applyBorder="1"/>
    <xf numFmtId="5" fontId="2" fillId="2" borderId="0" xfId="1" applyNumberFormat="1" applyFont="1" applyFill="1" applyBorder="1"/>
    <xf numFmtId="5" fontId="2" fillId="2" borderId="7" xfId="1" applyNumberFormat="1" applyFont="1" applyFill="1" applyBorder="1"/>
    <xf numFmtId="0" fontId="9" fillId="2" borderId="0" xfId="1" applyFont="1" applyFill="1" applyBorder="1"/>
    <xf numFmtId="5" fontId="9" fillId="2" borderId="0" xfId="1" applyNumberFormat="1" applyFont="1" applyFill="1" applyBorder="1"/>
    <xf numFmtId="5" fontId="9" fillId="2" borderId="11" xfId="1" applyNumberFormat="1" applyFont="1" applyFill="1" applyBorder="1"/>
    <xf numFmtId="5" fontId="2" fillId="2" borderId="13" xfId="1" applyNumberFormat="1" applyFont="1" applyFill="1" applyBorder="1"/>
    <xf numFmtId="6" fontId="9" fillId="2" borderId="0" xfId="1" applyNumberFormat="1" applyFont="1" applyFill="1" applyBorder="1"/>
    <xf numFmtId="6" fontId="9" fillId="2" borderId="11" xfId="1" applyNumberFormat="1" applyFont="1" applyFill="1" applyBorder="1"/>
    <xf numFmtId="0" fontId="2" fillId="2" borderId="14" xfId="1" applyFont="1" applyFill="1" applyBorder="1" applyAlignment="1">
      <alignment horizontal="center"/>
    </xf>
    <xf numFmtId="0" fontId="2" fillId="2" borderId="15" xfId="1" applyFont="1" applyFill="1" applyBorder="1"/>
    <xf numFmtId="0" fontId="2" fillId="2" borderId="16" xfId="1" applyFont="1" applyFill="1" applyBorder="1"/>
    <xf numFmtId="6" fontId="2" fillId="2" borderId="16" xfId="1" applyNumberFormat="1" applyFont="1" applyFill="1" applyBorder="1"/>
    <xf numFmtId="6" fontId="2" fillId="2" borderId="17" xfId="1" applyNumberFormat="1" applyFont="1" applyFill="1" applyBorder="1"/>
    <xf numFmtId="0" fontId="2" fillId="2" borderId="13" xfId="1" applyFont="1" applyFill="1" applyBorder="1"/>
    <xf numFmtId="0" fontId="2" fillId="2" borderId="18" xfId="1" applyFont="1" applyFill="1" applyBorder="1" applyAlignment="1">
      <alignment horizontal="center"/>
    </xf>
    <xf numFmtId="0" fontId="2" fillId="2" borderId="19" xfId="1" applyFont="1" applyFill="1" applyBorder="1"/>
    <xf numFmtId="6" fontId="2" fillId="2" borderId="19" xfId="1" applyNumberFormat="1" applyFont="1" applyFill="1" applyBorder="1"/>
    <xf numFmtId="0" fontId="2" fillId="2" borderId="20" xfId="1" applyFont="1" applyFill="1" applyBorder="1"/>
    <xf numFmtId="0" fontId="2" fillId="2" borderId="3" xfId="1" applyFont="1" applyFill="1" applyBorder="1" applyAlignment="1">
      <alignment horizontal="center"/>
    </xf>
    <xf numFmtId="0" fontId="2" fillId="2" borderId="3" xfId="1" applyFont="1" applyFill="1" applyBorder="1"/>
    <xf numFmtId="164" fontId="2" fillId="2" borderId="3" xfId="1" applyNumberFormat="1" applyFont="1" applyFill="1" applyBorder="1"/>
    <xf numFmtId="164" fontId="2" fillId="2" borderId="0" xfId="1" applyNumberFormat="1" applyFont="1" applyFill="1" applyBorder="1"/>
    <xf numFmtId="0" fontId="2" fillId="2" borderId="2" xfId="1" applyFont="1" applyFill="1" applyBorder="1" applyAlignment="1">
      <alignment horizontal="center"/>
    </xf>
    <xf numFmtId="164" fontId="2" fillId="2" borderId="4" xfId="1" applyNumberFormat="1" applyFont="1" applyFill="1" applyBorder="1"/>
    <xf numFmtId="0" fontId="2" fillId="2" borderId="18" xfId="1" applyFont="1" applyFill="1" applyBorder="1"/>
    <xf numFmtId="164" fontId="2" fillId="2" borderId="19" xfId="1" applyNumberFormat="1" applyFont="1" applyFill="1" applyBorder="1"/>
    <xf numFmtId="164" fontId="2" fillId="2" borderId="21" xfId="1" applyNumberFormat="1" applyFont="1" applyFill="1" applyBorder="1"/>
    <xf numFmtId="17" fontId="9" fillId="3" borderId="3" xfId="1" applyNumberFormat="1" applyFont="1" applyFill="1" applyBorder="1"/>
    <xf numFmtId="17" fontId="9" fillId="3" borderId="22" xfId="1" applyNumberFormat="1" applyFont="1" applyFill="1" applyBorder="1" applyAlignment="1">
      <alignment horizontal="center"/>
    </xf>
    <xf numFmtId="0" fontId="9" fillId="3" borderId="23" xfId="1" applyFont="1" applyFill="1" applyBorder="1" applyAlignment="1">
      <alignment horizontal="center"/>
    </xf>
    <xf numFmtId="3" fontId="2" fillId="2" borderId="0" xfId="1" applyNumberFormat="1" applyFont="1" applyFill="1" applyBorder="1"/>
    <xf numFmtId="3" fontId="2" fillId="2" borderId="13" xfId="1" applyNumberFormat="1" applyFont="1" applyFill="1" applyBorder="1"/>
    <xf numFmtId="165" fontId="2" fillId="2" borderId="0" xfId="1" applyNumberFormat="1" applyFont="1" applyFill="1" applyBorder="1"/>
    <xf numFmtId="165" fontId="2" fillId="2" borderId="13" xfId="1" applyNumberFormat="1" applyFont="1" applyFill="1" applyBorder="1"/>
    <xf numFmtId="3" fontId="2" fillId="0" borderId="0" xfId="1" applyNumberFormat="1" applyFont="1"/>
    <xf numFmtId="37" fontId="2" fillId="2" borderId="0" xfId="1" applyNumberFormat="1" applyFont="1" applyFill="1" applyBorder="1"/>
    <xf numFmtId="37" fontId="2" fillId="2" borderId="11" xfId="1" applyNumberFormat="1" applyFont="1" applyFill="1" applyBorder="1"/>
    <xf numFmtId="37" fontId="2" fillId="2" borderId="13" xfId="1" applyNumberFormat="1" applyFont="1" applyFill="1" applyBorder="1"/>
    <xf numFmtId="0" fontId="10" fillId="2" borderId="0" xfId="1" applyFont="1" applyFill="1"/>
    <xf numFmtId="0" fontId="11" fillId="0" borderId="0" xfId="1" applyFont="1"/>
    <xf numFmtId="0" fontId="8" fillId="2" borderId="0" xfId="1" applyFont="1" applyFill="1" applyAlignment="1">
      <alignment horizontal="right"/>
    </xf>
    <xf numFmtId="17" fontId="7" fillId="2" borderId="0" xfId="1" applyNumberFormat="1" applyFont="1" applyFill="1" applyAlignment="1">
      <alignment horizontal="center"/>
    </xf>
    <xf numFmtId="17" fontId="7" fillId="2" borderId="0" xfId="1" quotePrefix="1" applyNumberFormat="1" applyFont="1" applyFill="1" applyAlignment="1">
      <alignment horizontal="center"/>
    </xf>
    <xf numFmtId="17" fontId="7" fillId="2" borderId="0" xfId="1" applyNumberFormat="1" applyFont="1" applyFill="1" applyAlignment="1">
      <alignment horizontal="right"/>
    </xf>
    <xf numFmtId="15" fontId="7" fillId="2" borderId="0" xfId="1" quotePrefix="1" applyNumberFormat="1" applyFont="1" applyFill="1" applyAlignment="1">
      <alignment horizontal="left"/>
    </xf>
    <xf numFmtId="0" fontId="9" fillId="3" borderId="0" xfId="1" applyFont="1" applyFill="1" applyAlignment="1">
      <alignment horizontal="left"/>
    </xf>
    <xf numFmtId="0" fontId="9" fillId="3" borderId="0" xfId="1" applyFont="1" applyFill="1" applyAlignment="1">
      <alignment horizontal="center"/>
    </xf>
    <xf numFmtId="17" fontId="9" fillId="3" borderId="0" xfId="1" applyNumberFormat="1" applyFont="1" applyFill="1" applyAlignment="1">
      <alignment horizontal="left"/>
    </xf>
    <xf numFmtId="17" fontId="9" fillId="3" borderId="0" xfId="1" applyNumberFormat="1" applyFont="1" applyFill="1" applyBorder="1" applyAlignment="1">
      <alignment horizontal="right"/>
    </xf>
    <xf numFmtId="167" fontId="2" fillId="2" borderId="0" xfId="2" applyNumberFormat="1" applyFont="1" applyFill="1"/>
    <xf numFmtId="0" fontId="9" fillId="2" borderId="0" xfId="1" applyFont="1" applyFill="1"/>
    <xf numFmtId="167" fontId="2" fillId="2" borderId="0" xfId="1" applyNumberFormat="1" applyFont="1" applyFill="1"/>
    <xf numFmtId="168" fontId="2" fillId="2" borderId="0" xfId="1" applyNumberFormat="1" applyFont="1" applyFill="1"/>
    <xf numFmtId="0" fontId="9" fillId="0" borderId="0" xfId="1" applyFont="1"/>
    <xf numFmtId="17" fontId="2" fillId="0" borderId="0" xfId="1" applyNumberFormat="1" applyFont="1"/>
    <xf numFmtId="169" fontId="2" fillId="2" borderId="0" xfId="3" applyNumberFormat="1" applyFont="1" applyFill="1"/>
    <xf numFmtId="167" fontId="2" fillId="0" borderId="0" xfId="1" applyNumberFormat="1" applyFont="1"/>
    <xf numFmtId="171" fontId="2" fillId="2" borderId="0" xfId="4" applyNumberFormat="1" applyFont="1" applyFill="1"/>
    <xf numFmtId="172" fontId="2" fillId="0" borderId="0" xfId="1" applyNumberFormat="1" applyFont="1"/>
    <xf numFmtId="167" fontId="13" fillId="2" borderId="0" xfId="1" applyNumberFormat="1" applyFont="1" applyFill="1"/>
    <xf numFmtId="167" fontId="14" fillId="2" borderId="0" xfId="1" applyNumberFormat="1" applyFont="1" applyFill="1"/>
    <xf numFmtId="173" fontId="2" fillId="0" borderId="0" xfId="4" applyNumberFormat="1" applyFont="1"/>
    <xf numFmtId="0" fontId="10" fillId="4" borderId="0" xfId="1" applyFont="1" applyFill="1" applyAlignment="1"/>
    <xf numFmtId="0" fontId="2" fillId="4" borderId="0" xfId="1" applyFont="1" applyFill="1" applyAlignment="1"/>
    <xf numFmtId="0" fontId="2" fillId="2" borderId="0" xfId="1" applyFont="1" applyFill="1" applyAlignment="1"/>
    <xf numFmtId="0" fontId="10" fillId="2" borderId="0" xfId="5" applyFont="1" applyFill="1"/>
    <xf numFmtId="0" fontId="10" fillId="2" borderId="0" xfId="5" applyFont="1" applyFill="1" applyBorder="1"/>
    <xf numFmtId="0" fontId="10" fillId="0" borderId="0" xfId="5" applyFont="1" applyFill="1"/>
    <xf numFmtId="0" fontId="8" fillId="2" borderId="0" xfId="1" applyFont="1" applyFill="1" applyBorder="1" applyAlignment="1">
      <alignment horizontal="center"/>
    </xf>
    <xf numFmtId="0" fontId="10" fillId="2" borderId="0" xfId="1" applyFont="1" applyFill="1" applyBorder="1" applyAlignment="1">
      <alignment horizontal="center"/>
    </xf>
    <xf numFmtId="0" fontId="10" fillId="2" borderId="0" xfId="1" applyFont="1" applyFill="1" applyAlignment="1">
      <alignment horizontal="center"/>
    </xf>
    <xf numFmtId="0" fontId="10" fillId="3" borderId="2" xfId="5" applyFont="1" applyFill="1" applyBorder="1"/>
    <xf numFmtId="0" fontId="9" fillId="3" borderId="3" xfId="5" applyFont="1" applyFill="1" applyBorder="1"/>
    <xf numFmtId="17" fontId="9" fillId="3" borderId="3" xfId="5" applyNumberFormat="1" applyFont="1" applyFill="1" applyBorder="1" applyAlignment="1"/>
    <xf numFmtId="17" fontId="9" fillId="3" borderId="4" xfId="5" applyNumberFormat="1" applyFont="1" applyFill="1" applyBorder="1" applyAlignment="1"/>
    <xf numFmtId="0" fontId="10" fillId="2" borderId="0" xfId="5" applyFont="1" applyFill="1" applyBorder="1" applyAlignment="1">
      <alignment horizontal="center"/>
    </xf>
    <xf numFmtId="0" fontId="10" fillId="2" borderId="1" xfId="5" applyFont="1" applyFill="1" applyBorder="1"/>
    <xf numFmtId="0" fontId="2" fillId="2" borderId="0" xfId="5" applyFont="1" applyFill="1" applyBorder="1"/>
    <xf numFmtId="0" fontId="2" fillId="2" borderId="11" xfId="5" applyFont="1" applyFill="1" applyBorder="1"/>
    <xf numFmtId="0" fontId="10" fillId="2" borderId="1" xfId="5" applyFont="1" applyFill="1" applyBorder="1" applyAlignment="1">
      <alignment horizontal="center"/>
    </xf>
    <xf numFmtId="0" fontId="9" fillId="2" borderId="0" xfId="5" applyFont="1" applyFill="1" applyBorder="1"/>
    <xf numFmtId="174" fontId="2" fillId="2" borderId="0" xfId="5" applyNumberFormat="1" applyFont="1" applyFill="1" applyBorder="1"/>
    <xf numFmtId="174" fontId="2" fillId="2" borderId="11" xfId="5" applyNumberFormat="1" applyFont="1" applyFill="1" applyBorder="1"/>
    <xf numFmtId="174" fontId="10" fillId="2" borderId="0" xfId="5" applyNumberFormat="1" applyFont="1" applyFill="1" applyBorder="1"/>
    <xf numFmtId="175" fontId="2" fillId="2" borderId="0" xfId="5" applyNumberFormat="1" applyFont="1" applyFill="1" applyBorder="1"/>
    <xf numFmtId="175" fontId="2" fillId="2" borderId="11" xfId="5" applyNumberFormat="1" applyFont="1" applyFill="1" applyBorder="1"/>
    <xf numFmtId="175" fontId="9" fillId="2" borderId="0" xfId="5" applyNumberFormat="1" applyFont="1" applyFill="1" applyBorder="1"/>
    <xf numFmtId="175" fontId="9" fillId="2" borderId="11" xfId="5" applyNumberFormat="1" applyFont="1" applyFill="1" applyBorder="1"/>
    <xf numFmtId="176" fontId="2" fillId="2" borderId="0" xfId="5" applyNumberFormat="1" applyFont="1" applyFill="1" applyBorder="1"/>
    <xf numFmtId="176" fontId="2" fillId="2" borderId="11" xfId="5" applyNumberFormat="1" applyFont="1" applyFill="1" applyBorder="1"/>
    <xf numFmtId="176" fontId="10" fillId="2" borderId="0" xfId="5" applyNumberFormat="1" applyFont="1" applyFill="1" applyBorder="1"/>
    <xf numFmtId="0" fontId="16" fillId="2" borderId="0" xfId="5" applyFont="1" applyFill="1" applyBorder="1"/>
    <xf numFmtId="0" fontId="10" fillId="2" borderId="18" xfId="5" applyFont="1" applyFill="1" applyBorder="1"/>
    <xf numFmtId="0" fontId="16" fillId="2" borderId="19" xfId="5" applyFont="1" applyFill="1" applyBorder="1"/>
    <xf numFmtId="0" fontId="2" fillId="2" borderId="19" xfId="5" applyFont="1" applyFill="1" applyBorder="1"/>
    <xf numFmtId="0" fontId="2" fillId="2" borderId="21" xfId="5" applyFont="1" applyFill="1" applyBorder="1"/>
    <xf numFmtId="0" fontId="16" fillId="2" borderId="0" xfId="5" applyFont="1" applyFill="1"/>
    <xf numFmtId="0" fontId="2" fillId="2" borderId="0" xfId="5" applyFont="1" applyFill="1"/>
    <xf numFmtId="0" fontId="17" fillId="2" borderId="0" xfId="5" applyFont="1" applyFill="1"/>
    <xf numFmtId="0" fontId="10" fillId="3" borderId="2" xfId="5" applyFont="1" applyFill="1" applyBorder="1" applyAlignment="1">
      <alignment horizontal="center"/>
    </xf>
    <xf numFmtId="0" fontId="17" fillId="3" borderId="3" xfId="5" applyFont="1" applyFill="1" applyBorder="1"/>
    <xf numFmtId="17" fontId="18" fillId="3" borderId="3" xfId="5" applyNumberFormat="1" applyFont="1" applyFill="1" applyBorder="1" applyAlignment="1">
      <alignment horizontal="center"/>
    </xf>
    <xf numFmtId="0" fontId="18" fillId="3" borderId="24" xfId="5" applyFont="1" applyFill="1" applyBorder="1" applyAlignment="1">
      <alignment horizontal="center" wrapText="1"/>
    </xf>
    <xf numFmtId="0" fontId="10" fillId="3" borderId="1" xfId="5" applyFont="1" applyFill="1" applyBorder="1" applyAlignment="1">
      <alignment horizontal="center"/>
    </xf>
    <xf numFmtId="0" fontId="9" fillId="3" borderId="0" xfId="5" applyFont="1" applyFill="1" applyBorder="1"/>
    <xf numFmtId="0" fontId="10" fillId="3" borderId="0" xfId="5" applyNumberFormat="1" applyFont="1" applyFill="1" applyBorder="1" applyAlignment="1">
      <alignment horizontal="center"/>
    </xf>
    <xf numFmtId="0" fontId="10" fillId="3" borderId="25" xfId="5" applyFont="1" applyFill="1" applyBorder="1"/>
    <xf numFmtId="0" fontId="17" fillId="2" borderId="0" xfId="5" applyFont="1" applyFill="1" applyBorder="1"/>
    <xf numFmtId="0" fontId="10" fillId="2" borderId="0" xfId="5" applyNumberFormat="1" applyFont="1" applyFill="1" applyBorder="1" applyAlignment="1">
      <alignment horizontal="center"/>
    </xf>
    <xf numFmtId="0" fontId="10" fillId="2" borderId="25" xfId="5" applyFont="1" applyFill="1" applyBorder="1"/>
    <xf numFmtId="17" fontId="10" fillId="2" borderId="0" xfId="5" applyNumberFormat="1" applyFont="1" applyFill="1" applyBorder="1" applyAlignment="1">
      <alignment horizontal="left"/>
    </xf>
    <xf numFmtId="17" fontId="10" fillId="2" borderId="0" xfId="5" applyNumberFormat="1" applyFont="1" applyFill="1" applyBorder="1"/>
    <xf numFmtId="5" fontId="10" fillId="2" borderId="0" xfId="5" applyNumberFormat="1" applyFont="1" applyFill="1" applyBorder="1"/>
    <xf numFmtId="10" fontId="10" fillId="2" borderId="0" xfId="5" applyNumberFormat="1" applyFont="1" applyFill="1" applyBorder="1"/>
    <xf numFmtId="5" fontId="19" fillId="2" borderId="0" xfId="5" applyNumberFormat="1" applyFont="1" applyFill="1" applyBorder="1"/>
    <xf numFmtId="5" fontId="19" fillId="2" borderId="25" xfId="5" applyNumberFormat="1" applyFont="1" applyFill="1" applyBorder="1"/>
    <xf numFmtId="173" fontId="10" fillId="2" borderId="0" xfId="4" applyNumberFormat="1" applyFont="1" applyFill="1" applyBorder="1"/>
    <xf numFmtId="173" fontId="19" fillId="2" borderId="0" xfId="4" applyNumberFormat="1" applyFont="1" applyFill="1" applyBorder="1"/>
    <xf numFmtId="0" fontId="10" fillId="2" borderId="18" xfId="5" applyFont="1" applyFill="1" applyBorder="1" applyAlignment="1">
      <alignment horizontal="center"/>
    </xf>
    <xf numFmtId="0" fontId="10" fillId="2" borderId="19" xfId="5" applyFont="1" applyFill="1" applyBorder="1"/>
    <xf numFmtId="173" fontId="10" fillId="2" borderId="19" xfId="4" applyNumberFormat="1" applyFont="1" applyFill="1" applyBorder="1"/>
    <xf numFmtId="173" fontId="19" fillId="2" borderId="19" xfId="4" applyNumberFormat="1" applyFont="1" applyFill="1" applyBorder="1"/>
    <xf numFmtId="5" fontId="19" fillId="2" borderId="27" xfId="5" applyNumberFormat="1" applyFont="1" applyFill="1" applyBorder="1"/>
    <xf numFmtId="0" fontId="20" fillId="2" borderId="0" xfId="5" applyFont="1" applyFill="1" applyBorder="1"/>
    <xf numFmtId="0" fontId="21" fillId="2" borderId="0" xfId="5" applyFont="1" applyFill="1" applyBorder="1"/>
    <xf numFmtId="176" fontId="10" fillId="0" borderId="0" xfId="5" applyNumberFormat="1" applyFont="1" applyFill="1"/>
    <xf numFmtId="176" fontId="10" fillId="0" borderId="0" xfId="5" applyNumberFormat="1" applyFont="1" applyFill="1" applyBorder="1"/>
    <xf numFmtId="0" fontId="10" fillId="0" borderId="0" xfId="5" applyFont="1" applyFill="1" applyBorder="1"/>
    <xf numFmtId="174" fontId="10" fillId="2" borderId="0" xfId="5" applyNumberFormat="1" applyFont="1" applyFill="1"/>
    <xf numFmtId="177" fontId="2" fillId="2" borderId="0" xfId="2" applyNumberFormat="1" applyFont="1" applyFill="1"/>
    <xf numFmtId="178" fontId="2" fillId="0" borderId="0" xfId="1" applyNumberFormat="1" applyFont="1"/>
    <xf numFmtId="173" fontId="2" fillId="2" borderId="0" xfId="1" applyNumberFormat="1" applyFont="1" applyFill="1"/>
    <xf numFmtId="173" fontId="2" fillId="2" borderId="15" xfId="1" applyNumberFormat="1" applyFont="1" applyFill="1" applyBorder="1"/>
    <xf numFmtId="3" fontId="2" fillId="2" borderId="0" xfId="1" applyNumberFormat="1" applyFont="1" applyFill="1"/>
    <xf numFmtId="165" fontId="9" fillId="2" borderId="15" xfId="4" applyNumberFormat="1" applyFont="1" applyFill="1" applyBorder="1"/>
    <xf numFmtId="165" fontId="9" fillId="2" borderId="28" xfId="4" applyNumberFormat="1" applyFont="1" applyFill="1" applyBorder="1"/>
    <xf numFmtId="0" fontId="2" fillId="2" borderId="0" xfId="1" applyFont="1" applyFill="1" applyAlignment="1">
      <alignment horizontal="left"/>
    </xf>
    <xf numFmtId="175" fontId="9" fillId="2" borderId="29" xfId="4" applyNumberFormat="1" applyFont="1" applyFill="1" applyBorder="1"/>
    <xf numFmtId="4" fontId="9" fillId="2" borderId="16" xfId="4" applyNumberFormat="1" applyFont="1" applyFill="1" applyBorder="1"/>
    <xf numFmtId="175" fontId="2" fillId="2" borderId="0" xfId="4" applyNumberFormat="1" applyFont="1" applyFill="1"/>
    <xf numFmtId="165" fontId="2" fillId="2" borderId="0" xfId="4" applyNumberFormat="1" applyFont="1" applyFill="1" applyAlignment="1">
      <alignment horizontal="left"/>
    </xf>
    <xf numFmtId="165" fontId="2" fillId="2" borderId="0" xfId="1" applyNumberFormat="1" applyFont="1" applyFill="1"/>
    <xf numFmtId="165" fontId="2" fillId="2" borderId="0" xfId="1" applyNumberFormat="1" applyFont="1" applyFill="1" applyAlignment="1">
      <alignment horizontal="left"/>
    </xf>
    <xf numFmtId="175" fontId="2" fillId="2" borderId="0" xfId="1" applyNumberFormat="1" applyFont="1" applyFill="1" applyAlignment="1">
      <alignment horizontal="left"/>
    </xf>
    <xf numFmtId="0" fontId="21" fillId="2" borderId="0" xfId="5" applyFont="1" applyFill="1"/>
    <xf numFmtId="0" fontId="21" fillId="2" borderId="0" xfId="1" applyFont="1" applyFill="1" applyAlignment="1">
      <alignment vertical="top"/>
    </xf>
    <xf numFmtId="9" fontId="2" fillId="0" borderId="0" xfId="1" applyNumberFormat="1" applyFont="1"/>
    <xf numFmtId="0" fontId="5" fillId="2" borderId="0" xfId="1" applyFont="1" applyFill="1" applyBorder="1" applyAlignment="1">
      <alignment horizontal="center"/>
    </xf>
    <xf numFmtId="0" fontId="7" fillId="2" borderId="0" xfId="1" applyFont="1" applyFill="1" applyBorder="1" applyAlignment="1">
      <alignment horizontal="center"/>
    </xf>
    <xf numFmtId="0" fontId="8" fillId="2" borderId="0" xfId="1" applyFont="1" applyFill="1" applyBorder="1" applyAlignment="1">
      <alignment horizontal="center"/>
    </xf>
    <xf numFmtId="0" fontId="7" fillId="2" borderId="1" xfId="1" applyFont="1" applyFill="1" applyBorder="1" applyAlignment="1">
      <alignment horizontal="center"/>
    </xf>
    <xf numFmtId="0" fontId="7" fillId="2" borderId="11" xfId="1" applyFont="1" applyFill="1" applyBorder="1" applyAlignment="1">
      <alignment horizontal="center"/>
    </xf>
    <xf numFmtId="0" fontId="10" fillId="4" borderId="0" xfId="1" applyFont="1" applyFill="1" applyAlignment="1">
      <alignment horizontal="left" vertical="center" wrapText="1"/>
    </xf>
    <xf numFmtId="0" fontId="8" fillId="2" borderId="0" xfId="1" applyFont="1" applyFill="1" applyAlignment="1">
      <alignment horizontal="center"/>
    </xf>
    <xf numFmtId="0" fontId="7" fillId="2" borderId="0" xfId="1" applyFont="1" applyFill="1" applyAlignment="1">
      <alignment horizontal="center"/>
    </xf>
    <xf numFmtId="17" fontId="7" fillId="0" borderId="0" xfId="1" applyNumberFormat="1" applyFont="1" applyFill="1" applyAlignment="1">
      <alignment horizontal="center"/>
    </xf>
    <xf numFmtId="17" fontId="7" fillId="2" borderId="0" xfId="1" applyNumberFormat="1" applyFont="1" applyFill="1" applyAlignment="1">
      <alignment horizontal="center"/>
    </xf>
    <xf numFmtId="0" fontId="9" fillId="3" borderId="0" xfId="1" applyFont="1" applyFill="1" applyAlignment="1">
      <alignment horizontal="center"/>
    </xf>
    <xf numFmtId="0" fontId="9" fillId="3" borderId="0" xfId="1" applyFont="1" applyFill="1" applyAlignment="1">
      <alignment horizontal="left"/>
    </xf>
    <xf numFmtId="0" fontId="18" fillId="2" borderId="26" xfId="5" applyNumberFormat="1" applyFont="1" applyFill="1" applyBorder="1" applyAlignment="1">
      <alignment horizontal="center"/>
    </xf>
    <xf numFmtId="0" fontId="4" fillId="2" borderId="0" xfId="1" applyFont="1" applyFill="1" applyBorder="1" applyAlignment="1">
      <alignment horizontal="center"/>
    </xf>
    <xf numFmtId="177" fontId="2" fillId="2" borderId="0" xfId="2" applyNumberFormat="1" applyFont="1" applyFill="1" applyAlignment="1">
      <alignment horizontal="left"/>
    </xf>
    <xf numFmtId="0" fontId="2" fillId="2" borderId="0" xfId="1" applyFont="1" applyFill="1" applyAlignment="1">
      <alignment horizontal="left"/>
    </xf>
    <xf numFmtId="17" fontId="7" fillId="2" borderId="0" xfId="1" quotePrefix="1" applyNumberFormat="1" applyFont="1" applyFill="1" applyAlignment="1">
      <alignment horizontal="center"/>
    </xf>
    <xf numFmtId="0" fontId="3" fillId="2" borderId="0" xfId="1" applyFont="1" applyFill="1" applyBorder="1"/>
    <xf numFmtId="0" fontId="2" fillId="2" borderId="0" xfId="1" applyFont="1" applyFill="1" applyBorder="1" applyAlignment="1">
      <alignment horizontal="right"/>
    </xf>
    <xf numFmtId="0" fontId="8" fillId="4" borderId="0" xfId="1" applyFont="1" applyFill="1" applyBorder="1" applyAlignment="1">
      <alignment horizontal="center"/>
    </xf>
    <xf numFmtId="0" fontId="10" fillId="0" borderId="0" xfId="6" applyFont="1" applyFill="1"/>
    <xf numFmtId="0" fontId="9" fillId="3" borderId="18" xfId="1" applyFont="1" applyFill="1" applyBorder="1" applyAlignment="1">
      <alignment horizontal="center"/>
    </xf>
    <xf numFmtId="0" fontId="9" fillId="3" borderId="19" xfId="1" applyFont="1" applyFill="1" applyBorder="1" applyAlignment="1">
      <alignment horizontal="center"/>
    </xf>
    <xf numFmtId="0" fontId="9" fillId="3" borderId="20" xfId="1" applyFont="1" applyFill="1" applyBorder="1" applyAlignment="1">
      <alignment horizontal="center"/>
    </xf>
    <xf numFmtId="0" fontId="2" fillId="2" borderId="3" xfId="1" applyFont="1" applyFill="1" applyBorder="1" applyAlignment="1">
      <alignment horizontal="left"/>
    </xf>
    <xf numFmtId="5" fontId="2" fillId="2" borderId="3" xfId="1" applyNumberFormat="1" applyFont="1" applyFill="1" applyBorder="1"/>
    <xf numFmtId="0" fontId="9" fillId="2" borderId="3" xfId="1" applyFont="1" applyFill="1" applyBorder="1" applyAlignment="1">
      <alignment horizontal="center"/>
    </xf>
    <xf numFmtId="5" fontId="2" fillId="2" borderId="22" xfId="1" applyNumberFormat="1" applyFont="1" applyFill="1" applyBorder="1"/>
    <xf numFmtId="5" fontId="23" fillId="2" borderId="23" xfId="1" applyNumberFormat="1" applyFont="1" applyFill="1" applyBorder="1"/>
    <xf numFmtId="5" fontId="2" fillId="0" borderId="0" xfId="1" applyNumberFormat="1" applyFont="1"/>
    <xf numFmtId="6" fontId="2" fillId="2" borderId="13" xfId="1" applyNumberFormat="1" applyFont="1" applyFill="1" applyBorder="1"/>
    <xf numFmtId="6" fontId="2" fillId="2" borderId="23" xfId="1" applyNumberFormat="1" applyFont="1" applyFill="1" applyBorder="1"/>
    <xf numFmtId="6" fontId="2" fillId="0" borderId="0" xfId="1" applyNumberFormat="1" applyFont="1"/>
    <xf numFmtId="5" fontId="2" fillId="4" borderId="13" xfId="1" applyNumberFormat="1" applyFont="1" applyFill="1" applyBorder="1"/>
    <xf numFmtId="6" fontId="2" fillId="4" borderId="13" xfId="1" applyNumberFormat="1" applyFont="1" applyFill="1" applyBorder="1"/>
    <xf numFmtId="0" fontId="2" fillId="2" borderId="30" xfId="1" applyFont="1" applyFill="1" applyBorder="1" applyAlignment="1">
      <alignment horizontal="center"/>
    </xf>
    <xf numFmtId="0" fontId="9" fillId="2" borderId="28" xfId="1" applyFont="1" applyFill="1" applyBorder="1"/>
    <xf numFmtId="6" fontId="9" fillId="2" borderId="28" xfId="1" applyNumberFormat="1" applyFont="1" applyFill="1" applyBorder="1"/>
    <xf numFmtId="6" fontId="9" fillId="2" borderId="31" xfId="1" applyNumberFormat="1" applyFont="1" applyFill="1" applyBorder="1"/>
    <xf numFmtId="0" fontId="2" fillId="0" borderId="0" xfId="1" applyFont="1" applyFill="1" applyBorder="1"/>
    <xf numFmtId="0" fontId="2" fillId="2" borderId="6" xfId="1" applyFont="1" applyFill="1" applyBorder="1" applyAlignment="1">
      <alignment horizontal="left" indent="2"/>
    </xf>
    <xf numFmtId="37" fontId="2" fillId="2" borderId="6" xfId="1" applyNumberFormat="1" applyFont="1" applyFill="1" applyBorder="1"/>
    <xf numFmtId="5" fontId="2" fillId="2" borderId="23" xfId="1" applyNumberFormat="1" applyFont="1" applyFill="1" applyBorder="1"/>
    <xf numFmtId="0" fontId="2" fillId="2" borderId="28" xfId="1" applyFont="1" applyFill="1" applyBorder="1"/>
    <xf numFmtId="0" fontId="7" fillId="2" borderId="2" xfId="1" applyFont="1" applyFill="1" applyBorder="1" applyAlignment="1">
      <alignment horizontal="center"/>
    </xf>
    <xf numFmtId="0" fontId="7" fillId="2" borderId="3" xfId="1" applyFont="1" applyFill="1" applyBorder="1" applyAlignment="1">
      <alignment horizontal="center"/>
    </xf>
    <xf numFmtId="0" fontId="7" fillId="2" borderId="4" xfId="1" applyFont="1" applyFill="1" applyBorder="1" applyAlignment="1">
      <alignment horizontal="center"/>
    </xf>
    <xf numFmtId="164" fontId="2" fillId="2" borderId="11" xfId="1" applyNumberFormat="1" applyFont="1" applyFill="1" applyBorder="1"/>
    <xf numFmtId="3" fontId="2" fillId="2" borderId="3" xfId="1" applyNumberFormat="1" applyFont="1" applyFill="1" applyBorder="1"/>
    <xf numFmtId="5" fontId="2" fillId="2" borderId="20" xfId="1" applyNumberFormat="1" applyFont="1" applyFill="1" applyBorder="1"/>
    <xf numFmtId="0" fontId="10" fillId="2" borderId="0" xfId="1" applyFont="1" applyFill="1" applyBorder="1"/>
    <xf numFmtId="0" fontId="10" fillId="4" borderId="0" xfId="6" applyFont="1" applyFill="1"/>
    <xf numFmtId="0" fontId="3" fillId="4" borderId="0" xfId="1" applyFont="1" applyFill="1"/>
    <xf numFmtId="0" fontId="10" fillId="4" borderId="0" xfId="6" applyFont="1" applyFill="1" applyBorder="1"/>
    <xf numFmtId="0" fontId="4" fillId="4" borderId="0" xfId="1" applyFont="1" applyFill="1" applyBorder="1" applyAlignment="1">
      <alignment horizontal="right"/>
    </xf>
    <xf numFmtId="0" fontId="4" fillId="4" borderId="0" xfId="1" applyFont="1" applyFill="1" applyBorder="1" applyAlignment="1">
      <alignment horizontal="center"/>
    </xf>
    <xf numFmtId="0" fontId="8" fillId="4" borderId="0" xfId="1" applyFont="1" applyFill="1" applyBorder="1" applyAlignment="1">
      <alignment horizontal="center"/>
    </xf>
    <xf numFmtId="0" fontId="10" fillId="0" borderId="0" xfId="6" applyFont="1" applyAlignment="1"/>
    <xf numFmtId="0" fontId="2" fillId="4" borderId="19" xfId="1" applyFont="1" applyFill="1" applyBorder="1"/>
    <xf numFmtId="0" fontId="10" fillId="4" borderId="0" xfId="1" applyFont="1" applyFill="1" applyBorder="1" applyAlignment="1">
      <alignment horizontal="center"/>
    </xf>
    <xf numFmtId="0" fontId="10" fillId="4" borderId="2" xfId="6" applyFont="1" applyFill="1" applyBorder="1"/>
    <xf numFmtId="0" fontId="9" fillId="4" borderId="3" xfId="6" applyFont="1" applyFill="1" applyBorder="1"/>
    <xf numFmtId="17" fontId="9" fillId="4" borderId="3" xfId="6" applyNumberFormat="1" applyFont="1" applyFill="1" applyBorder="1" applyAlignment="1"/>
    <xf numFmtId="17" fontId="9" fillId="4" borderId="4" xfId="6" applyNumberFormat="1" applyFont="1" applyFill="1" applyBorder="1" applyAlignment="1"/>
    <xf numFmtId="0" fontId="10" fillId="4" borderId="0" xfId="6" applyFont="1" applyFill="1" applyBorder="1" applyAlignment="1">
      <alignment horizontal="center"/>
    </xf>
    <xf numFmtId="0" fontId="10" fillId="4" borderId="1" xfId="6" applyFont="1" applyFill="1" applyBorder="1"/>
    <xf numFmtId="0" fontId="2" fillId="4" borderId="0" xfId="6" applyFont="1" applyFill="1" applyBorder="1"/>
    <xf numFmtId="0" fontId="9" fillId="4" borderId="0" xfId="6" applyFont="1" applyFill="1" applyBorder="1" applyAlignment="1">
      <alignment horizontal="right"/>
    </xf>
    <xf numFmtId="0" fontId="9" fillId="4" borderId="11" xfId="6" applyFont="1" applyFill="1" applyBorder="1" applyAlignment="1">
      <alignment horizontal="right"/>
    </xf>
    <xf numFmtId="0" fontId="10" fillId="4" borderId="1" xfId="6" applyFont="1" applyFill="1" applyBorder="1" applyAlignment="1">
      <alignment horizontal="center"/>
    </xf>
    <xf numFmtId="0" fontId="9" fillId="4" borderId="0" xfId="6" applyFont="1" applyFill="1" applyBorder="1"/>
    <xf numFmtId="0" fontId="2" fillId="4" borderId="11" xfId="6" applyFont="1" applyFill="1" applyBorder="1"/>
    <xf numFmtId="174" fontId="2" fillId="4" borderId="0" xfId="6" applyNumberFormat="1" applyFont="1" applyFill="1" applyBorder="1"/>
    <xf numFmtId="174" fontId="2" fillId="4" borderId="11" xfId="6" applyNumberFormat="1" applyFont="1" applyFill="1" applyBorder="1"/>
    <xf numFmtId="174" fontId="10" fillId="4" borderId="0" xfId="6" applyNumberFormat="1" applyFont="1" applyFill="1" applyBorder="1"/>
    <xf numFmtId="175" fontId="2" fillId="4" borderId="0" xfId="6" applyNumberFormat="1" applyFont="1" applyFill="1" applyBorder="1"/>
    <xf numFmtId="175" fontId="2" fillId="4" borderId="11" xfId="6" applyNumberFormat="1" applyFont="1" applyFill="1" applyBorder="1"/>
    <xf numFmtId="175" fontId="9" fillId="4" borderId="0" xfId="6" applyNumberFormat="1" applyFont="1" applyFill="1" applyBorder="1"/>
    <xf numFmtId="175" fontId="9" fillId="4" borderId="11" xfId="6" applyNumberFormat="1" applyFont="1" applyFill="1" applyBorder="1"/>
    <xf numFmtId="176" fontId="2" fillId="4" borderId="0" xfId="6" applyNumberFormat="1" applyFont="1" applyFill="1" applyBorder="1"/>
    <xf numFmtId="176" fontId="2" fillId="4" borderId="11" xfId="6" applyNumberFormat="1" applyFont="1" applyFill="1" applyBorder="1"/>
    <xf numFmtId="176" fontId="10" fillId="4" borderId="0" xfId="6" applyNumberFormat="1" applyFont="1" applyFill="1" applyBorder="1"/>
    <xf numFmtId="0" fontId="16" fillId="4" borderId="0" xfId="6" applyFont="1" applyFill="1" applyBorder="1"/>
    <xf numFmtId="0" fontId="10" fillId="4" borderId="18" xfId="6" applyFont="1" applyFill="1" applyBorder="1"/>
    <xf numFmtId="0" fontId="16" fillId="4" borderId="19" xfId="6" applyFont="1" applyFill="1" applyBorder="1"/>
    <xf numFmtId="0" fontId="2" fillId="4" borderId="19" xfId="6" applyFont="1" applyFill="1" applyBorder="1"/>
    <xf numFmtId="0" fontId="2" fillId="4" borderId="21" xfId="6" applyFont="1" applyFill="1" applyBorder="1"/>
    <xf numFmtId="0" fontId="16" fillId="4" borderId="0" xfId="6" applyFont="1" applyFill="1"/>
    <xf numFmtId="0" fontId="2" fillId="4" borderId="0" xfId="6" applyFont="1" applyFill="1"/>
    <xf numFmtId="0" fontId="17" fillId="4" borderId="0" xfId="6" applyFont="1" applyFill="1"/>
    <xf numFmtId="0" fontId="10" fillId="4" borderId="2" xfId="6" applyFont="1" applyFill="1" applyBorder="1" applyAlignment="1">
      <alignment horizontal="center"/>
    </xf>
    <xf numFmtId="0" fontId="17" fillId="4" borderId="3" xfId="6" applyFont="1" applyFill="1" applyBorder="1"/>
    <xf numFmtId="17" fontId="18" fillId="4" borderId="3" xfId="6" applyNumberFormat="1" applyFont="1" applyFill="1" applyBorder="1" applyAlignment="1">
      <alignment horizontal="center"/>
    </xf>
    <xf numFmtId="0" fontId="18" fillId="4" borderId="24" xfId="6" applyFont="1" applyFill="1" applyBorder="1" applyAlignment="1">
      <alignment horizontal="center" wrapText="1"/>
    </xf>
    <xf numFmtId="0" fontId="10" fillId="4" borderId="0" xfId="6" applyNumberFormat="1" applyFont="1" applyFill="1" applyBorder="1" applyAlignment="1">
      <alignment horizontal="center"/>
    </xf>
    <xf numFmtId="0" fontId="10" fillId="4" borderId="25" xfId="6" applyFont="1" applyFill="1" applyBorder="1"/>
    <xf numFmtId="0" fontId="17" fillId="4" borderId="0" xfId="6" applyFont="1" applyFill="1" applyBorder="1"/>
    <xf numFmtId="0" fontId="18" fillId="4" borderId="26" xfId="6" applyNumberFormat="1" applyFont="1" applyFill="1" applyBorder="1" applyAlignment="1">
      <alignment horizontal="center"/>
    </xf>
    <xf numFmtId="17" fontId="10" fillId="4" borderId="0" xfId="6" applyNumberFormat="1" applyFont="1" applyFill="1" applyBorder="1" applyAlignment="1">
      <alignment horizontal="left"/>
    </xf>
    <xf numFmtId="17" fontId="10" fillId="4" borderId="0" xfId="6" applyNumberFormat="1" applyFont="1" applyFill="1" applyBorder="1"/>
    <xf numFmtId="5" fontId="10" fillId="4" borderId="0" xfId="6" applyNumberFormat="1" applyFont="1" applyFill="1" applyBorder="1"/>
    <xf numFmtId="10" fontId="10" fillId="4" borderId="0" xfId="6" applyNumberFormat="1" applyFont="1" applyFill="1" applyBorder="1"/>
    <xf numFmtId="173" fontId="10" fillId="4" borderId="0" xfId="4" applyNumberFormat="1" applyFont="1" applyFill="1" applyBorder="1"/>
    <xf numFmtId="5" fontId="10" fillId="4" borderId="25" xfId="6" applyNumberFormat="1" applyFont="1" applyFill="1" applyBorder="1"/>
    <xf numFmtId="0" fontId="10" fillId="4" borderId="18" xfId="6" applyFont="1" applyFill="1" applyBorder="1" applyAlignment="1">
      <alignment horizontal="center"/>
    </xf>
    <xf numFmtId="0" fontId="10" fillId="4" borderId="19" xfId="6" applyFont="1" applyFill="1" applyBorder="1"/>
    <xf numFmtId="173" fontId="10" fillId="4" borderId="19" xfId="4" applyNumberFormat="1" applyFont="1" applyFill="1" applyBorder="1"/>
    <xf numFmtId="5" fontId="10" fillId="4" borderId="27" xfId="6" applyNumberFormat="1" applyFont="1" applyFill="1" applyBorder="1"/>
    <xf numFmtId="0" fontId="20" fillId="4" borderId="0" xfId="6" applyFont="1" applyFill="1" applyBorder="1"/>
    <xf numFmtId="0" fontId="21" fillId="4" borderId="0" xfId="6" applyFont="1" applyFill="1" applyBorder="1"/>
    <xf numFmtId="176" fontId="10" fillId="4" borderId="0" xfId="6" applyNumberFormat="1" applyFont="1" applyFill="1"/>
  </cellXfs>
  <cellStyles count="7">
    <cellStyle name="Comma 2" xfId="2"/>
    <cellStyle name="Currency 2" xfId="4"/>
    <cellStyle name="Normal" xfId="0" builtinId="0"/>
    <cellStyle name="Normal 2" xfId="5"/>
    <cellStyle name="Normal 2 6" xfId="6"/>
    <cellStyle name="Normal_Heritage COG Forecast - Jan05 Review"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xdr:col>
      <xdr:colOff>2209800</xdr:colOff>
      <xdr:row>12</xdr:row>
      <xdr:rowOff>247650</xdr:rowOff>
    </xdr:from>
    <xdr:to>
      <xdr:col>2</xdr:col>
      <xdr:colOff>2343150</xdr:colOff>
      <xdr:row>14</xdr:row>
      <xdr:rowOff>9525</xdr:rowOff>
    </xdr:to>
    <xdr:sp macro="" textlink="">
      <xdr:nvSpPr>
        <xdr:cNvPr id="2" name="Text Box 1"/>
        <xdr:cNvSpPr txBox="1">
          <a:spLocks noChangeArrowheads="1"/>
        </xdr:cNvSpPr>
      </xdr:nvSpPr>
      <xdr:spPr bwMode="auto">
        <a:xfrm>
          <a:off x="2727960" y="2838450"/>
          <a:ext cx="133350" cy="219075"/>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800" b="0" i="0" u="none" strike="noStrike" baseline="0">
            <a:solidFill>
              <a:srgbClr val="000000"/>
            </a:solidFill>
            <a:latin typeface="Arial"/>
            <a:cs typeface="Arial"/>
          </a:endParaRPr>
        </a:p>
      </xdr:txBody>
    </xdr:sp>
    <xdr:clientData/>
  </xdr:twoCellAnchor>
  <xdr:twoCellAnchor>
    <xdr:from>
      <xdr:col>2</xdr:col>
      <xdr:colOff>2352675</xdr:colOff>
      <xdr:row>16</xdr:row>
      <xdr:rowOff>142875</xdr:rowOff>
    </xdr:from>
    <xdr:to>
      <xdr:col>3</xdr:col>
      <xdr:colOff>161925</xdr:colOff>
      <xdr:row>18</xdr:row>
      <xdr:rowOff>19050</xdr:rowOff>
    </xdr:to>
    <xdr:sp macro="" textlink="">
      <xdr:nvSpPr>
        <xdr:cNvPr id="3" name="Text Box 4"/>
        <xdr:cNvSpPr txBox="1">
          <a:spLocks noChangeArrowheads="1"/>
        </xdr:cNvSpPr>
      </xdr:nvSpPr>
      <xdr:spPr bwMode="auto">
        <a:xfrm>
          <a:off x="2863215" y="3571875"/>
          <a:ext cx="163830" cy="2571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1</a:t>
          </a:r>
          <a:endParaRPr lang="en-US" sz="800" b="0" i="0" u="none" strike="noStrike" baseline="0">
            <a:solidFill>
              <a:srgbClr val="000000"/>
            </a:solidFill>
            <a:latin typeface="Arial"/>
            <a:cs typeface="Arial"/>
          </a:endParaRPr>
        </a:p>
      </xdr:txBody>
    </xdr:sp>
    <xdr:clientData/>
  </xdr:twoCellAnchor>
  <xdr:twoCellAnchor>
    <xdr:from>
      <xdr:col>4</xdr:col>
      <xdr:colOff>2400300</xdr:colOff>
      <xdr:row>22</xdr:row>
      <xdr:rowOff>95250</xdr:rowOff>
    </xdr:from>
    <xdr:to>
      <xdr:col>5</xdr:col>
      <xdr:colOff>19050</xdr:colOff>
      <xdr:row>26</xdr:row>
      <xdr:rowOff>123825</xdr:rowOff>
    </xdr:to>
    <xdr:sp macro="" textlink="">
      <xdr:nvSpPr>
        <xdr:cNvPr id="4" name="Text Box 5"/>
        <xdr:cNvSpPr txBox="1">
          <a:spLocks noChangeArrowheads="1"/>
        </xdr:cNvSpPr>
      </xdr:nvSpPr>
      <xdr:spPr bwMode="auto">
        <a:xfrm>
          <a:off x="4114800" y="4667250"/>
          <a:ext cx="19050" cy="790575"/>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800" b="0" i="0" u="none" strike="noStrike" baseline="0">
            <a:solidFill>
              <a:srgbClr val="000000"/>
            </a:solidFill>
            <a:latin typeface="Arial"/>
            <a:cs typeface="Arial"/>
          </a:endParaRPr>
        </a:p>
      </xdr:txBody>
    </xdr:sp>
    <xdr:clientData/>
  </xdr:twoCellAnchor>
  <xdr:twoCellAnchor>
    <xdr:from>
      <xdr:col>6</xdr:col>
      <xdr:colOff>781050</xdr:colOff>
      <xdr:row>23</xdr:row>
      <xdr:rowOff>9525</xdr:rowOff>
    </xdr:from>
    <xdr:to>
      <xdr:col>6</xdr:col>
      <xdr:colOff>800100</xdr:colOff>
      <xdr:row>27</xdr:row>
      <xdr:rowOff>38100</xdr:rowOff>
    </xdr:to>
    <xdr:sp macro="" textlink="">
      <xdr:nvSpPr>
        <xdr:cNvPr id="5" name="Text Box 8"/>
        <xdr:cNvSpPr txBox="1">
          <a:spLocks noChangeArrowheads="1"/>
        </xdr:cNvSpPr>
      </xdr:nvSpPr>
      <xdr:spPr bwMode="auto">
        <a:xfrm>
          <a:off x="5513070" y="4772025"/>
          <a:ext cx="3810" cy="7905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2</a:t>
          </a:r>
        </a:p>
      </xdr:txBody>
    </xdr:sp>
    <xdr:clientData/>
  </xdr:twoCellAnchor>
  <xdr:twoCellAnchor>
    <xdr:from>
      <xdr:col>2</xdr:col>
      <xdr:colOff>1895475</xdr:colOff>
      <xdr:row>26</xdr:row>
      <xdr:rowOff>161925</xdr:rowOff>
    </xdr:from>
    <xdr:to>
      <xdr:col>2</xdr:col>
      <xdr:colOff>2000250</xdr:colOff>
      <xdr:row>27</xdr:row>
      <xdr:rowOff>133350</xdr:rowOff>
    </xdr:to>
    <xdr:sp macro="" textlink="">
      <xdr:nvSpPr>
        <xdr:cNvPr id="6" name="Text Box 15"/>
        <xdr:cNvSpPr txBox="1">
          <a:spLocks noChangeArrowheads="1"/>
        </xdr:cNvSpPr>
      </xdr:nvSpPr>
      <xdr:spPr bwMode="auto">
        <a:xfrm flipH="1" flipV="1">
          <a:off x="2413635" y="5495925"/>
          <a:ext cx="104775" cy="1619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781050</xdr:colOff>
      <xdr:row>23</xdr:row>
      <xdr:rowOff>9525</xdr:rowOff>
    </xdr:from>
    <xdr:to>
      <xdr:col>6</xdr:col>
      <xdr:colOff>800100</xdr:colOff>
      <xdr:row>27</xdr:row>
      <xdr:rowOff>38100</xdr:rowOff>
    </xdr:to>
    <xdr:sp macro="" textlink="">
      <xdr:nvSpPr>
        <xdr:cNvPr id="2" name="Text Box 8"/>
        <xdr:cNvSpPr txBox="1">
          <a:spLocks noChangeArrowheads="1"/>
        </xdr:cNvSpPr>
      </xdr:nvSpPr>
      <xdr:spPr bwMode="auto">
        <a:xfrm>
          <a:off x="5513070" y="4772025"/>
          <a:ext cx="3810" cy="7905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2</a:t>
          </a:r>
        </a:p>
      </xdr:txBody>
    </xdr:sp>
    <xdr:clientData/>
  </xdr:twoCellAnchor>
  <xdr:twoCellAnchor>
    <xdr:from>
      <xdr:col>2</xdr:col>
      <xdr:colOff>2362200</xdr:colOff>
      <xdr:row>16</xdr:row>
      <xdr:rowOff>161925</xdr:rowOff>
    </xdr:from>
    <xdr:to>
      <xdr:col>3</xdr:col>
      <xdr:colOff>171450</xdr:colOff>
      <xdr:row>18</xdr:row>
      <xdr:rowOff>38100</xdr:rowOff>
    </xdr:to>
    <xdr:sp macro="" textlink="">
      <xdr:nvSpPr>
        <xdr:cNvPr id="3" name="Text Box 4"/>
        <xdr:cNvSpPr txBox="1">
          <a:spLocks noChangeArrowheads="1"/>
        </xdr:cNvSpPr>
      </xdr:nvSpPr>
      <xdr:spPr bwMode="auto">
        <a:xfrm>
          <a:off x="2865120" y="3590925"/>
          <a:ext cx="171450" cy="25717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1</a:t>
          </a:r>
          <a:endParaRPr lang="en-US" sz="800" b="0" i="0" u="none" strike="noStrike" baseline="0">
            <a:solidFill>
              <a:srgbClr val="000000"/>
            </a:solidFill>
            <a:latin typeface="Arial"/>
            <a:cs typeface="Arial"/>
          </a:endParaRPr>
        </a:p>
      </xdr:txBody>
    </xdr:sp>
    <xdr:clientData/>
  </xdr:twoCellAnchor>
  <xdr:twoCellAnchor>
    <xdr:from>
      <xdr:col>2</xdr:col>
      <xdr:colOff>2209800</xdr:colOff>
      <xdr:row>12</xdr:row>
      <xdr:rowOff>247650</xdr:rowOff>
    </xdr:from>
    <xdr:to>
      <xdr:col>2</xdr:col>
      <xdr:colOff>2343150</xdr:colOff>
      <xdr:row>14</xdr:row>
      <xdr:rowOff>9525</xdr:rowOff>
    </xdr:to>
    <xdr:sp macro="" textlink="">
      <xdr:nvSpPr>
        <xdr:cNvPr id="4" name="Text Box 1"/>
        <xdr:cNvSpPr txBox="1">
          <a:spLocks noChangeArrowheads="1"/>
        </xdr:cNvSpPr>
      </xdr:nvSpPr>
      <xdr:spPr bwMode="auto">
        <a:xfrm>
          <a:off x="2727960" y="2838450"/>
          <a:ext cx="133350" cy="219075"/>
        </a:xfrm>
        <a:prstGeom prst="rect">
          <a:avLst/>
        </a:prstGeom>
        <a:noFill/>
        <a:ln w="9525">
          <a:noFill/>
          <a:miter lim="800000"/>
          <a:headEnd/>
          <a:tailEnd/>
        </a:ln>
      </xdr:spPr>
      <xdr:txBody>
        <a:bodyPr vertOverflow="clip" wrap="square" lIns="27432" tIns="22860" rIns="0" bIns="0" anchor="t" upright="1"/>
        <a:lstStyle/>
        <a:p>
          <a:pPr algn="l" rtl="0">
            <a:defRPr sz="1000"/>
          </a:pPr>
          <a:endParaRPr lang="en-US" sz="800" b="0" i="0" u="none" strike="noStrike" baseline="0">
            <a:solidFill>
              <a:srgbClr val="000000"/>
            </a:solidFill>
            <a:latin typeface="Arial"/>
            <a:cs typeface="Arial"/>
          </a:endParaRPr>
        </a:p>
      </xdr:txBody>
    </xdr:sp>
    <xdr:clientData/>
  </xdr:twoCellAnchor>
  <xdr:twoCellAnchor>
    <xdr:from>
      <xdr:col>2</xdr:col>
      <xdr:colOff>1914525</xdr:colOff>
      <xdr:row>26</xdr:row>
      <xdr:rowOff>142875</xdr:rowOff>
    </xdr:from>
    <xdr:to>
      <xdr:col>2</xdr:col>
      <xdr:colOff>2019300</xdr:colOff>
      <xdr:row>27</xdr:row>
      <xdr:rowOff>114300</xdr:rowOff>
    </xdr:to>
    <xdr:sp macro="" textlink="">
      <xdr:nvSpPr>
        <xdr:cNvPr id="5" name="Text Box 15"/>
        <xdr:cNvSpPr txBox="1">
          <a:spLocks noChangeArrowheads="1"/>
        </xdr:cNvSpPr>
      </xdr:nvSpPr>
      <xdr:spPr bwMode="auto">
        <a:xfrm flipH="1" flipV="1">
          <a:off x="2432685" y="5476875"/>
          <a:ext cx="104775" cy="161925"/>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rPr>
            <a:t>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BR%20Cor&amp;Vol%20Calc%200303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vised%20-%202022%20Cost%20of%20Gas%20(Nov21-Oct22)%20Rate%20Sett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vised%202023%20Cost%20of%20Gas%20(Nov22-Oct23)%20Rate%20Sett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2%20Cost%20of%20Gas%20(Nov21-Oct22)%20Rate%20Settin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1%20Cost%20of%20Gas%20(Nov20-Oct21)%20Rate%20Set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iceData "/>
      <sheetName val="AecoCor"/>
      <sheetName val="NymexCor"/>
      <sheetName val="Vol"/>
      <sheetName val="Cor"/>
      <sheetName val="downloadVol"/>
      <sheetName val="downloadCor"/>
      <sheetName val="vol_matrix"/>
      <sheetName val="cor_matrix"/>
    </sheetNames>
    <sheetDataSet>
      <sheetData sheetId="0" refreshError="1"/>
      <sheetData sheetId="1" refreshError="1"/>
      <sheetData sheetId="2" refreshError="1"/>
      <sheetData sheetId="3" refreshError="1"/>
      <sheetData sheetId="4" refreshError="1">
        <row r="7">
          <cell r="B7">
            <v>255</v>
          </cell>
        </row>
      </sheetData>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chedule 1 Actual"/>
      <sheetName val="CoGS 2008"/>
      <sheetName val="Panel Quarterly Review"/>
      <sheetName val="MFR Frcst (21 Rate App)"/>
      <sheetName val="MFR Detail (21 Rate App)"/>
      <sheetName val=" Sch 1.0 COGS (21 Rate App)"/>
      <sheetName val=" Schedule 1.0 Forecast COGS -A "/>
      <sheetName val=" Schedule 1 Forecast - Summer"/>
      <sheetName val="Schedule 1.1 Px Mgmt Annual"/>
      <sheetName val="Schedule 1.1 Hedges - Annual"/>
      <sheetName val=" Sch 1.1 Prices (21 Rate App) "/>
      <sheetName val=" Schedule 1.2 Prices - Annual"/>
      <sheetName val="Schedule 1.2 Storage - Summer"/>
      <sheetName val="Sch 1.2 Storage (21 Rate App) "/>
      <sheetName val="Schedule 1.3 Storage - Annual"/>
      <sheetName val="Schedule 2 Hedges - Summer"/>
      <sheetName val=" Schedule 3 Prices - Summer"/>
      <sheetName val="Indicative Rate - Summer only"/>
      <sheetName val=" Schedule 3.0 Rate - Annual"/>
      <sheetName val="Summary"/>
      <sheetName val=" Sch 3.0 Rate (21 Rate App) -no"/>
      <sheetName val="Sheet2"/>
      <sheetName val="Sch 2.0 (21 Rate App)"/>
      <sheetName val="Sch 2.1 (21 Rate App)"/>
      <sheetName val=" Sch 3.0 Rate (21 Rate App)"/>
      <sheetName val="Price Curves"/>
      <sheetName val="Operating Plan"/>
      <sheetName val="CoGS"/>
      <sheetName val="Accting Actuals &amp; GCVA"/>
      <sheetName val="Parking"/>
      <sheetName val="Calls"/>
      <sheetName val="Puts"/>
      <sheetName val="Physical Fixed Price Pur -Hedge"/>
      <sheetName val="Physical Fixed Price Swap"/>
      <sheetName val="Aeco Fixed Price Swap"/>
      <sheetName val="Other Gas Sales"/>
      <sheetName val=" AECO Financial Basis Swaps"/>
      <sheetName val="AECO Physical Basis Swaps"/>
      <sheetName val="Operating Expenses"/>
      <sheetName val="Phys Transportation Swap"/>
      <sheetName val="Transportation - Receipt"/>
      <sheetName val="Futures"/>
      <sheetName val="AECO NYMEX BasisSwp"/>
      <sheetName val="NymexSwp"/>
      <sheetName val="Exotics"/>
      <sheetName val="Year-to-year Link"/>
      <sheetName val="Inventory"/>
      <sheetName val="Inventory Consolidated"/>
      <sheetName val="Inventory Carrying Cost"/>
      <sheetName val="GCVA Interest"/>
      <sheetName val="Internal Usage"/>
      <sheetName val="Fin Planning Interface"/>
      <sheetName val="FinPlanning Upload"/>
    </sheetNames>
    <sheetDataSet>
      <sheetData sheetId="0"/>
      <sheetData sheetId="1"/>
      <sheetData sheetId="2"/>
      <sheetData sheetId="3"/>
      <sheetData sheetId="4"/>
      <sheetData sheetId="5">
        <row r="37">
          <cell r="E37">
            <v>4719.75</v>
          </cell>
          <cell r="F37">
            <v>4877.0749999999998</v>
          </cell>
          <cell r="G37">
            <v>4877.0749999999998</v>
          </cell>
          <cell r="H37">
            <v>4405.1000000000004</v>
          </cell>
          <cell r="I37">
            <v>4877.0749999999998</v>
          </cell>
          <cell r="J37">
            <v>4418.1000000000004</v>
          </cell>
          <cell r="K37">
            <v>4565.37</v>
          </cell>
          <cell r="L37">
            <v>4418.1000000000004</v>
          </cell>
          <cell r="M37">
            <v>4565.37</v>
          </cell>
          <cell r="N37">
            <v>4565.37</v>
          </cell>
          <cell r="O37">
            <v>4418.1000000000004</v>
          </cell>
          <cell r="P37">
            <v>4564.9290000000001</v>
          </cell>
        </row>
      </sheetData>
      <sheetData sheetId="6">
        <row r="9">
          <cell r="D9">
            <v>44501</v>
          </cell>
          <cell r="E9">
            <v>44531</v>
          </cell>
          <cell r="F9">
            <v>44562</v>
          </cell>
          <cell r="G9">
            <v>44593</v>
          </cell>
          <cell r="H9">
            <v>44621</v>
          </cell>
          <cell r="I9">
            <v>44652</v>
          </cell>
          <cell r="J9">
            <v>44682</v>
          </cell>
          <cell r="K9">
            <v>44713</v>
          </cell>
          <cell r="L9">
            <v>44743</v>
          </cell>
          <cell r="M9">
            <v>44774</v>
          </cell>
          <cell r="N9">
            <v>44805</v>
          </cell>
          <cell r="O9">
            <v>44835</v>
          </cell>
        </row>
        <row r="39">
          <cell r="D39">
            <v>4691.0550000000003</v>
          </cell>
          <cell r="E39">
            <v>4847.4234999999999</v>
          </cell>
          <cell r="F39">
            <v>4847.4234999999999</v>
          </cell>
          <cell r="G39">
            <v>4378.3180000000002</v>
          </cell>
          <cell r="H39">
            <v>4847.4234999999999</v>
          </cell>
        </row>
        <row r="41">
          <cell r="D41">
            <v>1892.9199999999998</v>
          </cell>
          <cell r="E41">
            <v>4240.6170000000002</v>
          </cell>
          <cell r="F41">
            <v>4911.5079999999998</v>
          </cell>
          <cell r="G41">
            <v>3710.3650000000002</v>
          </cell>
          <cell r="H41">
            <v>1814.7179999999998</v>
          </cell>
        </row>
        <row r="42">
          <cell r="D42">
            <v>3.3239471090716015</v>
          </cell>
          <cell r="E42">
            <v>3.3239471090716015</v>
          </cell>
          <cell r="F42">
            <v>3.3239471090716015</v>
          </cell>
          <cell r="G42">
            <v>3.3239471090716015</v>
          </cell>
          <cell r="H42">
            <v>3.3239471090716015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E1">
            <v>44501</v>
          </cell>
          <cell r="F1">
            <v>44531</v>
          </cell>
          <cell r="G1">
            <v>44562</v>
          </cell>
          <cell r="H1">
            <v>44593</v>
          </cell>
          <cell r="I1">
            <v>44621</v>
          </cell>
          <cell r="J1">
            <v>44652</v>
          </cell>
          <cell r="K1">
            <v>44682</v>
          </cell>
          <cell r="L1">
            <v>44713</v>
          </cell>
          <cell r="M1">
            <v>44743</v>
          </cell>
          <cell r="N1">
            <v>44774</v>
          </cell>
          <cell r="O1">
            <v>44805</v>
          </cell>
          <cell r="P1">
            <v>44835</v>
          </cell>
        </row>
        <row r="7">
          <cell r="E7">
            <v>1892920</v>
          </cell>
          <cell r="F7">
            <v>4240617</v>
          </cell>
          <cell r="G7">
            <v>4911508</v>
          </cell>
          <cell r="H7">
            <v>3710365</v>
          </cell>
          <cell r="I7">
            <v>1814718</v>
          </cell>
        </row>
        <row r="11">
          <cell r="E11">
            <v>28695</v>
          </cell>
          <cell r="F11">
            <v>29651.5</v>
          </cell>
          <cell r="G11">
            <v>29651.5</v>
          </cell>
          <cell r="H11">
            <v>26782</v>
          </cell>
          <cell r="I11">
            <v>29651.5</v>
          </cell>
          <cell r="J11">
            <v>29895</v>
          </cell>
          <cell r="K11">
            <v>30891.5</v>
          </cell>
          <cell r="L11">
            <v>29895</v>
          </cell>
          <cell r="M11">
            <v>30891.5</v>
          </cell>
          <cell r="N11">
            <v>30891.5</v>
          </cell>
          <cell r="O11">
            <v>29895</v>
          </cell>
          <cell r="P11">
            <v>30891.5</v>
          </cell>
        </row>
        <row r="17">
          <cell r="E17">
            <v>4719750</v>
          </cell>
          <cell r="F17">
            <v>4877075</v>
          </cell>
          <cell r="G17">
            <v>4877075</v>
          </cell>
          <cell r="H17">
            <v>4405100</v>
          </cell>
          <cell r="I17">
            <v>4877075</v>
          </cell>
          <cell r="J17">
            <v>4418100</v>
          </cell>
          <cell r="K17">
            <v>4565370</v>
          </cell>
          <cell r="L17">
            <v>4418100</v>
          </cell>
          <cell r="M17">
            <v>4565370</v>
          </cell>
          <cell r="N17">
            <v>4565370</v>
          </cell>
          <cell r="O17">
            <v>4418100</v>
          </cell>
          <cell r="P17">
            <v>4564929</v>
          </cell>
        </row>
        <row r="20">
          <cell r="E20">
            <v>6518543</v>
          </cell>
          <cell r="F20">
            <v>9001927.5</v>
          </cell>
          <cell r="G20">
            <v>9649729.5</v>
          </cell>
          <cell r="H20">
            <v>7984144</v>
          </cell>
          <cell r="I20">
            <v>6535863.5</v>
          </cell>
        </row>
        <row r="33">
          <cell r="E33">
            <v>4.2140000000000004</v>
          </cell>
          <cell r="F33">
            <v>4.2140000000000004</v>
          </cell>
          <cell r="G33">
            <v>4.2140000000000004</v>
          </cell>
          <cell r="H33">
            <v>4.2140000000000004</v>
          </cell>
          <cell r="I33">
            <v>4.2140000000000004</v>
          </cell>
          <cell r="J33">
            <v>3.2949999999999999</v>
          </cell>
          <cell r="K33">
            <v>3.2949999999999999</v>
          </cell>
          <cell r="L33">
            <v>3.2949999999999999</v>
          </cell>
          <cell r="M33">
            <v>3.2949999999999999</v>
          </cell>
          <cell r="N33">
            <v>3.2949999999999999</v>
          </cell>
          <cell r="O33">
            <v>3.2949999999999999</v>
          </cell>
          <cell r="P33">
            <v>3.2949999999999999</v>
          </cell>
        </row>
        <row r="50">
          <cell r="E50">
            <v>10861542.75</v>
          </cell>
          <cell r="F50">
            <v>11223594.175000001</v>
          </cell>
          <cell r="G50">
            <v>11223594.175000001</v>
          </cell>
          <cell r="H50">
            <v>10137439.9</v>
          </cell>
          <cell r="I50">
            <v>11223594.175000001</v>
          </cell>
          <cell r="J50">
            <v>8895142.5</v>
          </cell>
          <cell r="K50">
            <v>9191647.25</v>
          </cell>
          <cell r="L50">
            <v>8895142.5</v>
          </cell>
          <cell r="M50">
            <v>9191647.25</v>
          </cell>
          <cell r="N50">
            <v>9191647.25</v>
          </cell>
          <cell r="O50">
            <v>8895142.5</v>
          </cell>
          <cell r="P50">
            <v>9190191.9499999993</v>
          </cell>
        </row>
        <row r="54">
          <cell r="E54">
            <v>14410422.75</v>
          </cell>
          <cell r="F54">
            <v>14890770.175000001</v>
          </cell>
          <cell r="G54">
            <v>14890770.175000001</v>
          </cell>
          <cell r="H54">
            <v>13449727.9</v>
          </cell>
          <cell r="I54">
            <v>14890770.175000001</v>
          </cell>
          <cell r="J54">
            <v>11713417.5</v>
          </cell>
          <cell r="K54">
            <v>12103864.75</v>
          </cell>
          <cell r="L54">
            <v>11713417.5</v>
          </cell>
          <cell r="M54">
            <v>12103864.75</v>
          </cell>
          <cell r="N54">
            <v>12103864.75</v>
          </cell>
          <cell r="O54">
            <v>11713417.5</v>
          </cell>
          <cell r="P54">
            <v>12102409.449999999</v>
          </cell>
        </row>
        <row r="55">
          <cell r="E55">
            <v>3.0532173843953601</v>
          </cell>
          <cell r="F55">
            <v>3.0532173843953601</v>
          </cell>
          <cell r="G55">
            <v>3.0532173843953601</v>
          </cell>
          <cell r="H55">
            <v>3.0532173843953601</v>
          </cell>
          <cell r="I55">
            <v>3.0532173843953601</v>
          </cell>
          <cell r="J55">
            <v>2.65123412779249</v>
          </cell>
          <cell r="K55">
            <v>2.65123412779249</v>
          </cell>
          <cell r="L55">
            <v>2.65123412779249</v>
          </cell>
          <cell r="M55">
            <v>2.65123412779249</v>
          </cell>
          <cell r="N55">
            <v>2.65123412779249</v>
          </cell>
          <cell r="O55">
            <v>2.65123412779249</v>
          </cell>
          <cell r="P55">
            <v>2.6511714530499817</v>
          </cell>
        </row>
        <row r="108">
          <cell r="E108">
            <v>3729120.0000000005</v>
          </cell>
          <cell r="F108">
            <v>3853424.0000000005</v>
          </cell>
          <cell r="G108">
            <v>3853424.0000000005</v>
          </cell>
          <cell r="H108">
            <v>3480512</v>
          </cell>
          <cell r="I108">
            <v>3853424.0000000005</v>
          </cell>
          <cell r="J108">
            <v>0</v>
          </cell>
          <cell r="K108">
            <v>0</v>
          </cell>
          <cell r="L108">
            <v>0</v>
          </cell>
          <cell r="M108">
            <v>0</v>
          </cell>
          <cell r="N108">
            <v>0</v>
          </cell>
          <cell r="O108">
            <v>0</v>
          </cell>
          <cell r="P108">
            <v>0</v>
          </cell>
        </row>
        <row r="133">
          <cell r="E133">
            <v>0.78673417721519012</v>
          </cell>
          <cell r="F133">
            <v>0.78673417721519012</v>
          </cell>
          <cell r="G133">
            <v>0.78673417721519012</v>
          </cell>
          <cell r="H133">
            <v>0.78673417721519012</v>
          </cell>
          <cell r="I133">
            <v>0.78673417721519012</v>
          </cell>
          <cell r="J133">
            <v>0</v>
          </cell>
          <cell r="K133">
            <v>0</v>
          </cell>
          <cell r="L133">
            <v>0</v>
          </cell>
          <cell r="M133">
            <v>0</v>
          </cell>
          <cell r="N133">
            <v>0</v>
          </cell>
          <cell r="O133">
            <v>0</v>
          </cell>
          <cell r="P133">
            <v>0</v>
          </cell>
        </row>
        <row r="143">
          <cell r="E143">
            <v>2353200</v>
          </cell>
          <cell r="F143">
            <v>2431640</v>
          </cell>
          <cell r="G143">
            <v>2431640</v>
          </cell>
          <cell r="H143">
            <v>2196320</v>
          </cell>
          <cell r="I143">
            <v>2431640</v>
          </cell>
          <cell r="J143">
            <v>2353200</v>
          </cell>
          <cell r="K143">
            <v>2431640</v>
          </cell>
          <cell r="L143">
            <v>2353200</v>
          </cell>
          <cell r="M143">
            <v>2431640</v>
          </cell>
          <cell r="N143">
            <v>2431640</v>
          </cell>
          <cell r="O143">
            <v>2353200</v>
          </cell>
          <cell r="P143">
            <v>2431640</v>
          </cell>
        </row>
        <row r="146">
          <cell r="E146">
            <v>2.7917665433541079</v>
          </cell>
          <cell r="F146">
            <v>2.7917665433541083</v>
          </cell>
          <cell r="G146">
            <v>2.7917665433541083</v>
          </cell>
          <cell r="H146">
            <v>2.7917665433541079</v>
          </cell>
          <cell r="I146">
            <v>2.7917665433541083</v>
          </cell>
          <cell r="J146">
            <v>3.2055515865826689</v>
          </cell>
          <cell r="K146">
            <v>3.2055515865826689</v>
          </cell>
          <cell r="L146">
            <v>3.2055515865826689</v>
          </cell>
          <cell r="M146">
            <v>3.2055515865826689</v>
          </cell>
          <cell r="N146">
            <v>3.2055515865826689</v>
          </cell>
          <cell r="O146">
            <v>3.2055515865826689</v>
          </cell>
          <cell r="P146">
            <v>3.2055424001235102</v>
          </cell>
        </row>
        <row r="148">
          <cell r="E148">
            <v>6291965.9617038155</v>
          </cell>
          <cell r="F148">
            <v>14095586.617829887</v>
          </cell>
          <cell r="G148">
            <v>16325592.817782043</v>
          </cell>
          <cell r="H148">
            <v>12333057.015350454</v>
          </cell>
          <cell r="I148">
            <v>6032026.6498801988</v>
          </cell>
          <cell r="J148">
            <v>-2371181.7696626526</v>
          </cell>
          <cell r="K148">
            <v>-8417874.6329136863</v>
          </cell>
          <cell r="L148">
            <v>-8874790.7505135927</v>
          </cell>
          <cell r="M148">
            <v>-11311202.289411616</v>
          </cell>
          <cell r="N148">
            <v>-11335189.431934014</v>
          </cell>
          <cell r="O148">
            <v>-8587897.0890660305</v>
          </cell>
          <cell r="P148">
            <v>-2218257.7796822698</v>
          </cell>
        </row>
        <row r="150">
          <cell r="E150">
            <v>3.3239471090716015</v>
          </cell>
          <cell r="F150">
            <v>3.3239471090716011</v>
          </cell>
          <cell r="G150">
            <v>3.3239471090716011</v>
          </cell>
          <cell r="H150">
            <v>3.3239471090715997</v>
          </cell>
          <cell r="I150">
            <v>3.3239471090715971</v>
          </cell>
          <cell r="J150">
            <v>3.2786278340430264</v>
          </cell>
          <cell r="K150">
            <v>3.2365306286630706</v>
          </cell>
          <cell r="L150">
            <v>3.2248250571610946</v>
          </cell>
          <cell r="M150">
            <v>3.218560247522134</v>
          </cell>
          <cell r="N150">
            <v>3.2153639811238954</v>
          </cell>
          <cell r="O150">
            <v>3.2138240440732599</v>
          </cell>
          <cell r="P150">
            <v>3.2135014077119051</v>
          </cell>
        </row>
        <row r="152">
          <cell r="E152">
            <v>4363.7684717917064</v>
          </cell>
          <cell r="F152">
            <v>4363.7684717917064</v>
          </cell>
          <cell r="G152">
            <v>4363.7684717917064</v>
          </cell>
          <cell r="H152">
            <v>4363.7684717917064</v>
          </cell>
          <cell r="I152">
            <v>4363.7684717917064</v>
          </cell>
          <cell r="J152">
            <v>4363.7684717917064</v>
          </cell>
          <cell r="K152">
            <v>4363.7684717917064</v>
          </cell>
          <cell r="L152">
            <v>4363.7684717917064</v>
          </cell>
          <cell r="M152">
            <v>4363.7684717917064</v>
          </cell>
          <cell r="N152">
            <v>4363.7684717917064</v>
          </cell>
          <cell r="O152">
            <v>4363.7684717917064</v>
          </cell>
          <cell r="P152">
            <v>4363.7684717917064</v>
          </cell>
        </row>
        <row r="153">
          <cell r="E153">
            <v>213266.85319433332</v>
          </cell>
          <cell r="F153">
            <v>249094.64137583334</v>
          </cell>
          <cell r="G153">
            <v>258440.48082983334</v>
          </cell>
          <cell r="H153">
            <v>234411.07882133333</v>
          </cell>
          <cell r="I153">
            <v>213516.73604783331</v>
          </cell>
          <cell r="J153">
            <v>170624.08924733332</v>
          </cell>
          <cell r="K153">
            <v>145615.62773783333</v>
          </cell>
          <cell r="L153">
            <v>141883.13921933333</v>
          </cell>
          <cell r="M153">
            <v>133309.94496383335</v>
          </cell>
          <cell r="N153">
            <v>133431.88196783332</v>
          </cell>
          <cell r="O153">
            <v>143427.13118633334</v>
          </cell>
          <cell r="P153">
            <v>174163.83304583334</v>
          </cell>
        </row>
        <row r="154">
          <cell r="E154">
            <v>-44464.439469200632</v>
          </cell>
          <cell r="F154">
            <v>-57048.714790672515</v>
          </cell>
          <cell r="G154">
            <v>-83895.168809812516</v>
          </cell>
          <cell r="H154">
            <v>-109063.71945275627</v>
          </cell>
          <cell r="I154">
            <v>-109902.67114085441</v>
          </cell>
          <cell r="J154">
            <v>-99835.250883676883</v>
          </cell>
          <cell r="K154">
            <v>-84734.120497910641</v>
          </cell>
          <cell r="L154">
            <v>-67955.086735948134</v>
          </cell>
          <cell r="M154">
            <v>-54531.859726378134</v>
          </cell>
          <cell r="N154">
            <v>-46142.342845396881</v>
          </cell>
          <cell r="O154">
            <v>-41108.632716808133</v>
          </cell>
          <cell r="P154">
            <v>-40269.681028710009</v>
          </cell>
        </row>
        <row r="158">
          <cell r="E158">
            <v>-194403.17092722899</v>
          </cell>
          <cell r="F158">
            <v>-263652.33756741334</v>
          </cell>
          <cell r="G158">
            <v>-336116.87966149946</v>
          </cell>
          <cell r="H158">
            <v>-319044.61874605663</v>
          </cell>
          <cell r="I158">
            <v>-372890.8855601403</v>
          </cell>
          <cell r="J158">
            <v>-276519.75515260675</v>
          </cell>
          <cell r="K158">
            <v>-256311.9658199925</v>
          </cell>
          <cell r="L158">
            <v>-159499.21592623624</v>
          </cell>
          <cell r="M158">
            <v>-96929.852325686472</v>
          </cell>
          <cell r="N158">
            <v>-44656.076798767062</v>
          </cell>
          <cell r="O158">
            <v>-102927.99734506637</v>
          </cell>
          <cell r="P158">
            <v>-109865.10981138999</v>
          </cell>
        </row>
        <row r="174">
          <cell r="E174">
            <v>16785248.225000001</v>
          </cell>
          <cell r="F174">
            <v>23179963.3125</v>
          </cell>
          <cell r="G174">
            <v>24848053.462500002</v>
          </cell>
          <cell r="H174">
            <v>20559170.800000001</v>
          </cell>
          <cell r="I174">
            <v>16829848.512500003</v>
          </cell>
          <cell r="J174">
            <v>9174163.6500000004</v>
          </cell>
          <cell r="K174">
            <v>4710533.7625000002</v>
          </cell>
          <cell r="L174">
            <v>4044341.35</v>
          </cell>
          <cell r="M174">
            <v>2514156.6125000003</v>
          </cell>
          <cell r="N174">
            <v>2535920.5125000002</v>
          </cell>
          <cell r="O174">
            <v>4319920.4250000007</v>
          </cell>
          <cell r="P174">
            <v>9805954.0625</v>
          </cell>
        </row>
        <row r="178">
          <cell r="E178">
            <v>2654.9473041358228</v>
          </cell>
          <cell r="F178">
            <v>3216.5525402570074</v>
          </cell>
          <cell r="G178">
            <v>5525.7355374197496</v>
          </cell>
          <cell r="H178">
            <v>5755.0533034902619</v>
          </cell>
          <cell r="I178">
            <v>6984.8397372102618</v>
          </cell>
          <cell r="J178">
            <v>8153.0121538995008</v>
          </cell>
          <cell r="K178">
            <v>8815.1851551177351</v>
          </cell>
          <cell r="L178">
            <v>8774.6873548698368</v>
          </cell>
          <cell r="M178">
            <v>12824.018651357999</v>
          </cell>
          <cell r="N178">
            <v>13039.230825685407</v>
          </cell>
          <cell r="O178">
            <v>12895.851845681118</v>
          </cell>
          <cell r="P178">
            <v>20451.341680478497</v>
          </cell>
        </row>
        <row r="181">
          <cell r="B181">
            <v>18908169.553379353</v>
          </cell>
        </row>
        <row r="183">
          <cell r="E183">
            <v>21492635.714791007</v>
          </cell>
          <cell r="F183">
            <v>25877107.678919163</v>
          </cell>
          <cell r="G183">
            <v>30735839.719337411</v>
          </cell>
          <cell r="H183">
            <v>34549389.205650739</v>
          </cell>
          <cell r="I183">
            <v>37026513.879355252</v>
          </cell>
          <cell r="J183">
            <v>39354571.82352934</v>
          </cell>
          <cell r="K183">
            <v>40579416.67316249</v>
          </cell>
          <cell r="L183">
            <v>41654469.36503271</v>
          </cell>
          <cell r="M183">
            <v>42363651.233156011</v>
          </cell>
          <cell r="N183">
            <v>43088082.500343144</v>
          </cell>
          <cell r="O183">
            <v>44263532.607719041</v>
          </cell>
        </row>
      </sheetData>
      <sheetData sheetId="28">
        <row r="68">
          <cell r="E68">
            <v>2.5750000000000002</v>
          </cell>
          <cell r="F68">
            <v>2.5750000000000002</v>
          </cell>
          <cell r="G68">
            <v>2.5750000000000002</v>
          </cell>
          <cell r="H68">
            <v>2.5750000000000002</v>
          </cell>
          <cell r="I68">
            <v>2.5750000000000002</v>
          </cell>
          <cell r="J68">
            <v>2.5750000000000002</v>
          </cell>
          <cell r="K68">
            <v>2.5750000000000002</v>
          </cell>
          <cell r="L68">
            <v>2.5750000000000002</v>
          </cell>
          <cell r="M68">
            <v>2.5750000000000002</v>
          </cell>
          <cell r="N68">
            <v>2.5750000000000002</v>
          </cell>
          <cell r="O68">
            <v>2.5750000000000002</v>
          </cell>
          <cell r="P68">
            <v>2.5750000000000002</v>
          </cell>
        </row>
      </sheetData>
      <sheetData sheetId="29"/>
      <sheetData sheetId="30"/>
      <sheetData sheetId="31"/>
      <sheetData sheetId="32"/>
      <sheetData sheetId="33"/>
      <sheetData sheetId="34"/>
      <sheetData sheetId="35"/>
      <sheetData sheetId="36"/>
      <sheetData sheetId="37"/>
      <sheetData sheetId="38">
        <row r="12">
          <cell r="E12">
            <v>115416.66666666667</v>
          </cell>
          <cell r="F12">
            <v>115416.66666666667</v>
          </cell>
          <cell r="G12">
            <v>115416.66666666667</v>
          </cell>
          <cell r="H12">
            <v>115416.66666666667</v>
          </cell>
          <cell r="I12">
            <v>115416.66666666667</v>
          </cell>
          <cell r="J12">
            <v>115416.66666666667</v>
          </cell>
          <cell r="K12">
            <v>115416.66666666667</v>
          </cell>
          <cell r="L12">
            <v>115416.66666666667</v>
          </cell>
          <cell r="M12">
            <v>115416.66666666667</v>
          </cell>
          <cell r="N12">
            <v>115416.66666666667</v>
          </cell>
          <cell r="O12">
            <v>115416.66666666667</v>
          </cell>
          <cell r="P12">
            <v>115416.66666666667</v>
          </cell>
        </row>
        <row r="13">
          <cell r="E13">
            <v>94043.019860999993</v>
          </cell>
          <cell r="F13">
            <v>129870.80804249999</v>
          </cell>
          <cell r="G13">
            <v>139216.64749649999</v>
          </cell>
          <cell r="H13">
            <v>115187.24548799999</v>
          </cell>
          <cell r="I13">
            <v>94292.902714499985</v>
          </cell>
          <cell r="J13">
            <v>51400.255913999994</v>
          </cell>
          <cell r="K13">
            <v>26391.794404499997</v>
          </cell>
          <cell r="L13">
            <v>22659.305886000002</v>
          </cell>
          <cell r="M13">
            <v>14086.1116305</v>
          </cell>
          <cell r="N13">
            <v>14208.048634499999</v>
          </cell>
          <cell r="O13">
            <v>24203.297852999996</v>
          </cell>
          <cell r="P13">
            <v>54939.999712500001</v>
          </cell>
        </row>
      </sheetData>
      <sheetData sheetId="39"/>
      <sheetData sheetId="40"/>
      <sheetData sheetId="41"/>
      <sheetData sheetId="42"/>
      <sheetData sheetId="43"/>
      <sheetData sheetId="44"/>
      <sheetData sheetId="45"/>
      <sheetData sheetId="46">
        <row r="12">
          <cell r="B12">
            <v>3.3239471090716015</v>
          </cell>
        </row>
        <row r="19">
          <cell r="J19">
            <v>3.2055515865826689</v>
          </cell>
          <cell r="K19">
            <v>3.2055515865826689</v>
          </cell>
          <cell r="L19">
            <v>3.2055515865826689</v>
          </cell>
          <cell r="M19">
            <v>3.2055515865826689</v>
          </cell>
          <cell r="N19">
            <v>3.2055515865826689</v>
          </cell>
          <cell r="O19">
            <v>3.2055515865826689</v>
          </cell>
          <cell r="P19">
            <v>3.2055424001235102</v>
          </cell>
        </row>
        <row r="23">
          <cell r="E23">
            <v>59042921.163877323</v>
          </cell>
          <cell r="F23">
            <v>52750955.202173509</v>
          </cell>
          <cell r="G23">
            <v>38655368.58434362</v>
          </cell>
          <cell r="H23">
            <v>22329775.766561575</v>
          </cell>
          <cell r="I23">
            <v>9996718.7512111217</v>
          </cell>
          <cell r="J23">
            <v>3964692.1013309229</v>
          </cell>
          <cell r="K23">
            <v>6335873.8709935751</v>
          </cell>
          <cell r="L23">
            <v>14753748.503907261</v>
          </cell>
          <cell r="M23">
            <v>23628539.254420854</v>
          </cell>
          <cell r="N23">
            <v>34939741.543832466</v>
          </cell>
          <cell r="O23">
            <v>46274930.97576648</v>
          </cell>
          <cell r="P23">
            <v>54862828.064832509</v>
          </cell>
        </row>
        <row r="25">
          <cell r="E25">
            <v>6291965.9617038155</v>
          </cell>
          <cell r="F25">
            <v>14095586.617829887</v>
          </cell>
          <cell r="G25">
            <v>16325592.817782043</v>
          </cell>
          <cell r="H25">
            <v>12333057.015350454</v>
          </cell>
          <cell r="I25">
            <v>6032026.6498801988</v>
          </cell>
          <cell r="J25">
            <v>-2371181.7696626526</v>
          </cell>
          <cell r="K25">
            <v>-8417874.6329136863</v>
          </cell>
          <cell r="L25">
            <v>-8874790.7505135927</v>
          </cell>
          <cell r="M25">
            <v>-11311202.289411616</v>
          </cell>
          <cell r="N25">
            <v>-11335189.431934014</v>
          </cell>
          <cell r="O25">
            <v>-8587897.0890660305</v>
          </cell>
          <cell r="P25">
            <v>-2218257.7796822698</v>
          </cell>
        </row>
        <row r="30">
          <cell r="E30">
            <v>52750955.202173509</v>
          </cell>
          <cell r="F30">
            <v>38655368.58434362</v>
          </cell>
          <cell r="G30">
            <v>22329775.766561575</v>
          </cell>
          <cell r="H30">
            <v>9996718.7512111217</v>
          </cell>
          <cell r="I30">
            <v>3964692.1013309229</v>
          </cell>
          <cell r="J30">
            <v>6335873.8709935751</v>
          </cell>
          <cell r="K30">
            <v>14753748.503907261</v>
          </cell>
          <cell r="L30">
            <v>23628539.254420854</v>
          </cell>
          <cell r="M30">
            <v>34939741.543832466</v>
          </cell>
          <cell r="N30">
            <v>46274930.97576648</v>
          </cell>
          <cell r="O30">
            <v>54862828.064832509</v>
          </cell>
          <cell r="P30">
            <v>57081085.84451478</v>
          </cell>
        </row>
        <row r="32">
          <cell r="E32">
            <v>3.3239471090716015</v>
          </cell>
          <cell r="F32">
            <v>3.3239471090716011</v>
          </cell>
          <cell r="G32">
            <v>3.3239471090716011</v>
          </cell>
          <cell r="H32">
            <v>3.3239471090715997</v>
          </cell>
          <cell r="I32">
            <v>3.3239471090715971</v>
          </cell>
          <cell r="J32">
            <v>3.2786278340430264</v>
          </cell>
          <cell r="K32">
            <v>3.2365306286630706</v>
          </cell>
          <cell r="L32">
            <v>3.2248250571610946</v>
          </cell>
          <cell r="M32">
            <v>3.218560247522134</v>
          </cell>
          <cell r="N32">
            <v>3.2153639811238954</v>
          </cell>
          <cell r="O32">
            <v>3.2138240440732599</v>
          </cell>
          <cell r="P32">
            <v>3.2135014077119051</v>
          </cell>
        </row>
        <row r="35">
          <cell r="E35">
            <v>17762894.302000001</v>
          </cell>
          <cell r="F35">
            <v>15869974.302000001</v>
          </cell>
          <cell r="G35">
            <v>11629357.302000001</v>
          </cell>
          <cell r="H35">
            <v>6717849.3020000011</v>
          </cell>
          <cell r="I35">
            <v>3007484.3020000011</v>
          </cell>
          <cell r="J35">
            <v>1192766.3020000011</v>
          </cell>
          <cell r="K35">
            <v>1932477.3020000011</v>
          </cell>
          <cell r="L35">
            <v>4558507.3020000011</v>
          </cell>
          <cell r="M35">
            <v>7327076.3020000011</v>
          </cell>
          <cell r="N35">
            <v>10855705.302000001</v>
          </cell>
          <cell r="O35">
            <v>14391817.302000001</v>
          </cell>
          <cell r="P35">
            <v>17070887.302000001</v>
          </cell>
        </row>
        <row r="37">
          <cell r="E37">
            <v>1892920</v>
          </cell>
          <cell r="F37">
            <v>4240617</v>
          </cell>
          <cell r="G37">
            <v>4911508</v>
          </cell>
          <cell r="H37">
            <v>3710365</v>
          </cell>
          <cell r="I37">
            <v>1814718</v>
          </cell>
          <cell r="J37">
            <v>-739711</v>
          </cell>
          <cell r="K37">
            <v>-2626030</v>
          </cell>
          <cell r="L37">
            <v>-2768569</v>
          </cell>
          <cell r="M37">
            <v>-3528629</v>
          </cell>
          <cell r="N37">
            <v>-3536112</v>
          </cell>
          <cell r="O37">
            <v>-2679070</v>
          </cell>
          <cell r="P37">
            <v>-692007</v>
          </cell>
        </row>
        <row r="39">
          <cell r="E39">
            <v>15869974.302000001</v>
          </cell>
          <cell r="F39">
            <v>11629357.302000001</v>
          </cell>
          <cell r="G39">
            <v>6717849.3020000011</v>
          </cell>
          <cell r="H39">
            <v>3007484.3020000011</v>
          </cell>
          <cell r="I39">
            <v>1192766.3020000011</v>
          </cell>
          <cell r="J39">
            <v>1932477.3020000011</v>
          </cell>
          <cell r="K39">
            <v>4558507.3020000011</v>
          </cell>
          <cell r="L39">
            <v>7327076.3020000011</v>
          </cell>
          <cell r="M39">
            <v>10855705.302000001</v>
          </cell>
          <cell r="N39">
            <v>14391817.302000001</v>
          </cell>
          <cell r="O39">
            <v>17070887.302000001</v>
          </cell>
          <cell r="P39">
            <v>17762894.302000001</v>
          </cell>
        </row>
      </sheetData>
      <sheetData sheetId="47"/>
      <sheetData sheetId="48">
        <row r="1">
          <cell r="C1">
            <v>44256</v>
          </cell>
          <cell r="D1">
            <v>44287</v>
          </cell>
          <cell r="E1">
            <v>44317</v>
          </cell>
          <cell r="F1">
            <v>44348</v>
          </cell>
          <cell r="G1">
            <v>44378</v>
          </cell>
          <cell r="H1">
            <v>44409</v>
          </cell>
          <cell r="I1">
            <v>44440</v>
          </cell>
          <cell r="J1">
            <v>44470</v>
          </cell>
          <cell r="K1">
            <v>44501</v>
          </cell>
          <cell r="L1">
            <v>44531</v>
          </cell>
          <cell r="M1">
            <v>44562</v>
          </cell>
          <cell r="N1">
            <v>44593</v>
          </cell>
          <cell r="O1">
            <v>44621</v>
          </cell>
        </row>
        <row r="7">
          <cell r="C7">
            <v>9309402.3048499152</v>
          </cell>
          <cell r="D7">
            <v>8253872.7920190822</v>
          </cell>
          <cell r="E7">
            <v>15174158.462363277</v>
          </cell>
          <cell r="F7">
            <v>22724042.466926649</v>
          </cell>
          <cell r="G7">
            <v>34686782.254393801</v>
          </cell>
          <cell r="H7">
            <v>45834035.093250155</v>
          </cell>
          <cell r="I7">
            <v>55894591.30456537</v>
          </cell>
          <cell r="J7">
            <v>59042921.163877323</v>
          </cell>
          <cell r="K7">
            <v>52750955.202173509</v>
          </cell>
          <cell r="L7">
            <v>38655368.58434362</v>
          </cell>
          <cell r="M7">
            <v>22329775.766561575</v>
          </cell>
          <cell r="N7">
            <v>9996718.7512111217</v>
          </cell>
          <cell r="O7">
            <v>3964692.1013309229</v>
          </cell>
        </row>
        <row r="9">
          <cell r="D9">
            <v>8781637.5484344997</v>
          </cell>
          <cell r="E9">
            <v>11714015.627191179</v>
          </cell>
          <cell r="F9">
            <v>18949100.464644961</v>
          </cell>
          <cell r="G9">
            <v>28705412.360660225</v>
          </cell>
          <cell r="H9">
            <v>40260408.673821978</v>
          </cell>
          <cell r="I9">
            <v>50864313.198907763</v>
          </cell>
          <cell r="J9">
            <v>57468756.234221347</v>
          </cell>
          <cell r="K9">
            <v>55896938.18302542</v>
          </cell>
          <cell r="L9">
            <v>45703161.893258564</v>
          </cell>
          <cell r="M9">
            <v>30492572.175452597</v>
          </cell>
          <cell r="N9">
            <v>16163247.258886348</v>
          </cell>
          <cell r="O9">
            <v>6980705.4262710223</v>
          </cell>
        </row>
        <row r="11">
          <cell r="D11">
            <v>1.1000000000000001E-3</v>
          </cell>
          <cell r="E11">
            <v>1.1000000000000001E-3</v>
          </cell>
          <cell r="F11">
            <v>1.1999999999999999E-3</v>
          </cell>
          <cell r="G11">
            <v>1.5E-3</v>
          </cell>
          <cell r="H11">
            <v>1.6999999999999999E-3</v>
          </cell>
          <cell r="I11">
            <v>1.6999999999999999E-3</v>
          </cell>
          <cell r="J11">
            <v>1.6999999999999999E-3</v>
          </cell>
          <cell r="K11">
            <v>1.6000000000000001E-3</v>
          </cell>
          <cell r="L11">
            <v>1.6000000000000001E-3</v>
          </cell>
          <cell r="M11">
            <v>2.3E-3</v>
          </cell>
          <cell r="N11">
            <v>2.3E-3</v>
          </cell>
          <cell r="O11">
            <v>2.3E-3</v>
          </cell>
        </row>
        <row r="13">
          <cell r="D13">
            <v>793.95627150229734</v>
          </cell>
          <cell r="E13">
            <v>1094.3778983211485</v>
          </cell>
          <cell r="F13">
            <v>1868.9523745951192</v>
          </cell>
          <cell r="G13">
            <v>3656.9908897827413</v>
          </cell>
          <cell r="H13">
            <v>5812.9411975627891</v>
          </cell>
          <cell r="I13">
            <v>7107.0684195734129</v>
          </cell>
          <cell r="J13">
            <v>8297.5437083382603</v>
          </cell>
          <cell r="K13">
            <v>7350.8302268088219</v>
          </cell>
          <cell r="L13">
            <v>6210.6214517962326</v>
          </cell>
          <cell r="M13">
            <v>5956.4942359171782</v>
          </cell>
          <cell r="N13">
            <v>2851.8167766363858</v>
          </cell>
          <cell r="O13">
            <v>1363.6282106660929</v>
          </cell>
        </row>
      </sheetData>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chedule 1 Actual"/>
      <sheetName val="CoGS 2008"/>
      <sheetName val="Panel Quarterly Review"/>
      <sheetName val=" Sch 1.1 Prices (21 Rate Ap (2"/>
      <sheetName val="MFR Frcst (21 Rate App)"/>
      <sheetName val=" Sch 1.0 COGS (21 Rate App)"/>
      <sheetName val=" Schedule 1.0 Forecast COGS -A "/>
      <sheetName val=" Schedule 1 Forecast - Summer"/>
      <sheetName val="Schedule 1.1 Px Mgmt Annual"/>
      <sheetName val="Schedule 1.1 Hedges - Annual"/>
      <sheetName val=" Sch 1.1 Prices (21 Rate App)  "/>
      <sheetName val=" Schedule 1.2 Prices - Annual"/>
      <sheetName val="Schedule 1.2 Storage - Summer"/>
      <sheetName val="Schedule 1.3 Storage"/>
      <sheetName val="Sch 1.2 Storage (21 Rate App)"/>
      <sheetName val="Schedule 2 Hedges - Summer"/>
      <sheetName val=" Schedule 3 Prices - Summer"/>
      <sheetName val="Indicative Rate - Summer only"/>
      <sheetName val=" Sch 3.0 Rate (21 Rate App)"/>
      <sheetName val="Summary"/>
      <sheetName val=" Schedule 3.0 Rate "/>
      <sheetName val="Sheet2"/>
      <sheetName val="Price Curves"/>
      <sheetName val="Operating Plan"/>
      <sheetName val="CoGS"/>
      <sheetName val="Accting Actuals &amp; GCVA"/>
      <sheetName val="Parking"/>
      <sheetName val="Calls"/>
      <sheetName val="Puts"/>
      <sheetName val="Physical Fixed Price Pur -Hedge"/>
      <sheetName val="Physical Fixed Price Swap"/>
      <sheetName val="Aeco Fixed Price Swap"/>
      <sheetName val="Other Gas Sales"/>
      <sheetName val=" AECO Financial Basis Swaps"/>
      <sheetName val="AECO Physical Basis Swaps"/>
      <sheetName val="Phys Transportation Swap"/>
      <sheetName val="Transportation - Receipt"/>
      <sheetName val="Futures"/>
      <sheetName val="AECO NYMEX BasisSwp"/>
      <sheetName val="NymexSwp"/>
      <sheetName val="Exotics"/>
      <sheetName val="Year-to-year Link"/>
      <sheetName val="Inventory"/>
      <sheetName val="Inventory Consolidated"/>
      <sheetName val="Inventory Carrying Cost"/>
      <sheetName val="Operating Expenses"/>
      <sheetName val="GCVA Interest"/>
      <sheetName val="Internal Usage"/>
      <sheetName val="Fin Planning Interface"/>
      <sheetName val="FinPlanning Upload"/>
    </sheetNames>
    <sheetDataSet>
      <sheetData sheetId="0"/>
      <sheetData sheetId="1"/>
      <sheetData sheetId="2"/>
      <sheetData sheetId="3"/>
      <sheetData sheetId="4"/>
      <sheetData sheetId="5">
        <row r="37">
          <cell r="E37">
            <v>6486.2089999999998</v>
          </cell>
          <cell r="F37">
            <v>8957.6414999999997</v>
          </cell>
          <cell r="G37">
            <v>9601.3250000000007</v>
          </cell>
          <cell r="H37">
            <v>7945.6390000000001</v>
          </cell>
          <cell r="I37">
            <v>6505.0690000000004</v>
          </cell>
          <cell r="J37">
            <v>3556.8389999999999</v>
          </cell>
          <cell r="K37">
            <v>1826.097</v>
          </cell>
          <cell r="L37">
            <v>1567.7829999999999</v>
          </cell>
          <cell r="M37">
            <v>974.64800000000002</v>
          </cell>
          <cell r="N37">
            <v>983.05799999999999</v>
          </cell>
          <cell r="O37">
            <v>1674.787</v>
          </cell>
          <cell r="P37">
            <v>3801.5889999999999</v>
          </cell>
        </row>
      </sheetData>
      <sheetData sheetId="6">
        <row r="9">
          <cell r="D9">
            <v>44866</v>
          </cell>
          <cell r="E9">
            <v>44896</v>
          </cell>
          <cell r="F9">
            <v>44927</v>
          </cell>
          <cell r="G9">
            <v>44958</v>
          </cell>
          <cell r="H9">
            <v>44986</v>
          </cell>
          <cell r="I9">
            <v>45017</v>
          </cell>
          <cell r="J9">
            <v>45047</v>
          </cell>
          <cell r="K9">
            <v>45078</v>
          </cell>
          <cell r="L9">
            <v>45108</v>
          </cell>
          <cell r="M9">
            <v>45139</v>
          </cell>
          <cell r="N9">
            <v>45170</v>
          </cell>
          <cell r="O9">
            <v>45200</v>
          </cell>
        </row>
        <row r="39">
          <cell r="D39">
            <v>4646.2049999999999</v>
          </cell>
          <cell r="E39">
            <v>4801.0784999999996</v>
          </cell>
          <cell r="F39">
            <v>4811.82</v>
          </cell>
          <cell r="G39">
            <v>4346.16</v>
          </cell>
          <cell r="H39">
            <v>4811.82</v>
          </cell>
        </row>
        <row r="41">
          <cell r="D41">
            <v>1905.3879999999999</v>
          </cell>
          <cell r="E41">
            <v>4242.6089999999995</v>
          </cell>
          <cell r="F41">
            <v>4898.634</v>
          </cell>
          <cell r="G41">
            <v>3703.96</v>
          </cell>
          <cell r="H41">
            <v>1819.481</v>
          </cell>
        </row>
        <row r="42">
          <cell r="D42">
            <v>3.2135014077119051</v>
          </cell>
          <cell r="E42">
            <v>3.2135014077119051</v>
          </cell>
          <cell r="F42">
            <v>3.2135014077119051</v>
          </cell>
          <cell r="G42">
            <v>3.2135014077119051</v>
          </cell>
          <cell r="H42">
            <v>3.2135014077119051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E1">
            <v>44866</v>
          </cell>
          <cell r="F1">
            <v>44896</v>
          </cell>
          <cell r="G1">
            <v>44927</v>
          </cell>
          <cell r="H1">
            <v>44958</v>
          </cell>
          <cell r="I1">
            <v>44986</v>
          </cell>
          <cell r="J1">
            <v>45017</v>
          </cell>
          <cell r="K1">
            <v>45047</v>
          </cell>
          <cell r="L1">
            <v>45078</v>
          </cell>
          <cell r="M1">
            <v>45108</v>
          </cell>
          <cell r="N1">
            <v>45139</v>
          </cell>
          <cell r="O1">
            <v>45170</v>
          </cell>
          <cell r="P1">
            <v>45200</v>
          </cell>
        </row>
        <row r="7">
          <cell r="E7">
            <v>1905388</v>
          </cell>
          <cell r="F7">
            <v>4242609</v>
          </cell>
          <cell r="G7">
            <v>4898634</v>
          </cell>
          <cell r="H7">
            <v>3703960</v>
          </cell>
          <cell r="I7">
            <v>1819481</v>
          </cell>
        </row>
        <row r="11">
          <cell r="E11">
            <v>28695</v>
          </cell>
          <cell r="F11">
            <v>29651.5</v>
          </cell>
          <cell r="G11">
            <v>29760</v>
          </cell>
          <cell r="H11">
            <v>26880</v>
          </cell>
          <cell r="I11">
            <v>29760</v>
          </cell>
          <cell r="J11">
            <v>30000</v>
          </cell>
          <cell r="K11">
            <v>31000</v>
          </cell>
          <cell r="L11">
            <v>30000</v>
          </cell>
          <cell r="M11">
            <v>31000</v>
          </cell>
          <cell r="N11">
            <v>31000</v>
          </cell>
          <cell r="O11">
            <v>30000</v>
          </cell>
          <cell r="P11">
            <v>31000</v>
          </cell>
        </row>
        <row r="17">
          <cell r="E17">
            <v>4674900</v>
          </cell>
          <cell r="F17">
            <v>4830730</v>
          </cell>
          <cell r="G17">
            <v>4841580</v>
          </cell>
          <cell r="H17">
            <v>4373040</v>
          </cell>
          <cell r="I17">
            <v>4841580</v>
          </cell>
          <cell r="J17">
            <v>4414650</v>
          </cell>
          <cell r="K17">
            <v>4561805</v>
          </cell>
          <cell r="L17">
            <v>4414650</v>
          </cell>
          <cell r="M17">
            <v>4561805</v>
          </cell>
          <cell r="N17">
            <v>4561805</v>
          </cell>
          <cell r="O17">
            <v>4414650</v>
          </cell>
          <cell r="P17">
            <v>4561728</v>
          </cell>
        </row>
        <row r="20">
          <cell r="B20">
            <v>53880684.5</v>
          </cell>
          <cell r="E20">
            <v>6486209</v>
          </cell>
          <cell r="F20">
            <v>8957641.5</v>
          </cell>
          <cell r="G20">
            <v>9601325</v>
          </cell>
          <cell r="H20">
            <v>7945639</v>
          </cell>
          <cell r="I20">
            <v>6505069</v>
          </cell>
          <cell r="J20">
            <v>3556839</v>
          </cell>
          <cell r="K20">
            <v>1826097</v>
          </cell>
          <cell r="L20">
            <v>1567783</v>
          </cell>
          <cell r="M20">
            <v>974648</v>
          </cell>
          <cell r="N20">
            <v>983058</v>
          </cell>
          <cell r="O20">
            <v>1674787</v>
          </cell>
          <cell r="P20">
            <v>3801589</v>
          </cell>
        </row>
        <row r="33">
          <cell r="E33">
            <v>3.6859999999999999</v>
          </cell>
          <cell r="F33">
            <v>3.6859999999999999</v>
          </cell>
          <cell r="G33">
            <v>3.6859999999999999</v>
          </cell>
          <cell r="H33">
            <v>3.6859999999999999</v>
          </cell>
          <cell r="I33">
            <v>3.6859999999999999</v>
          </cell>
          <cell r="J33">
            <v>2.7909999999999999</v>
          </cell>
          <cell r="K33">
            <v>2.7909999999999999</v>
          </cell>
          <cell r="L33">
            <v>2.7909999999999999</v>
          </cell>
          <cell r="M33">
            <v>2.7909999999999999</v>
          </cell>
          <cell r="N33">
            <v>2.7909999999999999</v>
          </cell>
          <cell r="O33">
            <v>2.7909999999999999</v>
          </cell>
          <cell r="P33">
            <v>2.7909999999999999</v>
          </cell>
        </row>
        <row r="50">
          <cell r="E50">
            <v>10112400.9</v>
          </cell>
          <cell r="F50">
            <v>10449480.93</v>
          </cell>
          <cell r="G50">
            <v>10489528.279999999</v>
          </cell>
          <cell r="H50">
            <v>9474412.6400000006</v>
          </cell>
          <cell r="I50">
            <v>10489528.279999999</v>
          </cell>
          <cell r="J50">
            <v>8467661.4000000004</v>
          </cell>
          <cell r="K50">
            <v>8749916.7799999993</v>
          </cell>
          <cell r="L50">
            <v>8467661.4000000004</v>
          </cell>
          <cell r="M50">
            <v>8749916.7799999993</v>
          </cell>
          <cell r="N50">
            <v>8749916.7799999993</v>
          </cell>
          <cell r="O50">
            <v>8467661.4000000004</v>
          </cell>
          <cell r="P50">
            <v>8749701.4879999999</v>
          </cell>
        </row>
        <row r="54">
          <cell r="E54">
            <v>13101900.9</v>
          </cell>
          <cell r="F54">
            <v>13538630.93</v>
          </cell>
          <cell r="G54">
            <v>13578678.279999999</v>
          </cell>
          <cell r="H54">
            <v>12264612.640000001</v>
          </cell>
          <cell r="I54">
            <v>13578678.279999999</v>
          </cell>
          <cell r="J54">
            <v>10785911.4</v>
          </cell>
          <cell r="K54">
            <v>11145441.779999999</v>
          </cell>
          <cell r="L54">
            <v>10785911.4</v>
          </cell>
          <cell r="M54">
            <v>11145441.779999999</v>
          </cell>
          <cell r="N54">
            <v>11145441.779999999</v>
          </cell>
          <cell r="O54">
            <v>10785911.4</v>
          </cell>
          <cell r="P54">
            <v>11145226.488</v>
          </cell>
        </row>
        <row r="55">
          <cell r="E55">
            <v>2.8026055958416225</v>
          </cell>
          <cell r="F55">
            <v>2.8026055958416221</v>
          </cell>
          <cell r="G55">
            <v>2.8045964912280699</v>
          </cell>
          <cell r="H55">
            <v>2.8045964912280703</v>
          </cell>
          <cell r="I55">
            <v>2.8045964912280699</v>
          </cell>
          <cell r="J55">
            <v>2.4432087254935273</v>
          </cell>
          <cell r="K55">
            <v>2.4432087254935273</v>
          </cell>
          <cell r="L55">
            <v>2.4432087254935273</v>
          </cell>
          <cell r="M55">
            <v>2.4432087254935273</v>
          </cell>
          <cell r="N55">
            <v>2.4432087254935273</v>
          </cell>
          <cell r="O55">
            <v>2.4432087254935273</v>
          </cell>
          <cell r="P55">
            <v>2.4432027705290627</v>
          </cell>
        </row>
        <row r="108">
          <cell r="E108">
            <v>2837880</v>
          </cell>
          <cell r="F108">
            <v>2932476</v>
          </cell>
          <cell r="G108">
            <v>2932476</v>
          </cell>
          <cell r="H108">
            <v>2648688</v>
          </cell>
          <cell r="I108">
            <v>2932476</v>
          </cell>
          <cell r="J108">
            <v>0</v>
          </cell>
          <cell r="K108">
            <v>0</v>
          </cell>
          <cell r="L108">
            <v>0</v>
          </cell>
          <cell r="M108">
            <v>0</v>
          </cell>
          <cell r="N108">
            <v>0</v>
          </cell>
          <cell r="O108">
            <v>0</v>
          </cell>
          <cell r="P108">
            <v>0</v>
          </cell>
        </row>
        <row r="133">
          <cell r="E133">
            <v>0.60704614002438584</v>
          </cell>
          <cell r="F133">
            <v>0.60704614002438584</v>
          </cell>
          <cell r="G133">
            <v>0.60568574721475255</v>
          </cell>
          <cell r="H133">
            <v>0.6056857472147521</v>
          </cell>
          <cell r="I133">
            <v>0.60568574721475255</v>
          </cell>
          <cell r="J133">
            <v>0</v>
          </cell>
          <cell r="K133">
            <v>0</v>
          </cell>
          <cell r="L133">
            <v>0</v>
          </cell>
          <cell r="M133">
            <v>0</v>
          </cell>
          <cell r="N133">
            <v>0</v>
          </cell>
          <cell r="O133">
            <v>0</v>
          </cell>
          <cell r="P133">
            <v>0</v>
          </cell>
        </row>
        <row r="143">
          <cell r="E143">
            <v>2353200</v>
          </cell>
          <cell r="F143">
            <v>2431640</v>
          </cell>
          <cell r="G143">
            <v>2431640</v>
          </cell>
          <cell r="H143">
            <v>2196320</v>
          </cell>
          <cell r="I143">
            <v>2431640</v>
          </cell>
          <cell r="J143">
            <v>2353200</v>
          </cell>
          <cell r="K143">
            <v>2431640</v>
          </cell>
          <cell r="L143">
            <v>2353200</v>
          </cell>
          <cell r="M143">
            <v>2431640</v>
          </cell>
          <cell r="N143">
            <v>2431640</v>
          </cell>
          <cell r="O143">
            <v>2353200</v>
          </cell>
          <cell r="P143">
            <v>2431640</v>
          </cell>
        </row>
        <row r="146">
          <cell r="E146">
            <v>2.715597116356252</v>
          </cell>
          <cell r="F146">
            <v>2.7155971163562516</v>
          </cell>
          <cell r="G146">
            <v>2.7178577502899106</v>
          </cell>
          <cell r="H146">
            <v>2.7178577502899111</v>
          </cell>
          <cell r="I146">
            <v>2.7178577502899106</v>
          </cell>
          <cell r="J146">
            <v>2.996615784612227</v>
          </cell>
          <cell r="K146">
            <v>2.9966157846122266</v>
          </cell>
          <cell r="L146">
            <v>2.996615784612227</v>
          </cell>
          <cell r="M146">
            <v>2.9966157846122266</v>
          </cell>
          <cell r="N146">
            <v>2.9966157846122266</v>
          </cell>
          <cell r="O146">
            <v>2.996615784612227</v>
          </cell>
          <cell r="P146">
            <v>2.9966191940897797</v>
          </cell>
        </row>
        <row r="148">
          <cell r="E148">
            <v>6122967.0202373713</v>
          </cell>
          <cell r="F148">
            <v>13633629.993871197</v>
          </cell>
          <cell r="G148">
            <v>15741767.2548654</v>
          </cell>
          <cell r="H148">
            <v>11902680.674108587</v>
          </cell>
          <cell r="I148">
            <v>5846904.7548050648</v>
          </cell>
          <cell r="J148">
            <v>-2223809.550071226</v>
          </cell>
          <cell r="K148">
            <v>-7867905.4142305078</v>
          </cell>
          <cell r="L148">
            <v>-8294191.9892863063</v>
          </cell>
          <cell r="M148">
            <v>-10568107.951892031</v>
          </cell>
          <cell r="N148">
            <v>-10590657.485671239</v>
          </cell>
          <cell r="O148">
            <v>-8026051.8122634199</v>
          </cell>
          <cell r="P148">
            <v>-2083417.4744060838</v>
          </cell>
        </row>
        <row r="150">
          <cell r="E150">
            <v>3.2135014077119051</v>
          </cell>
          <cell r="F150">
            <v>3.2135014077119051</v>
          </cell>
          <cell r="G150">
            <v>3.2135014077119051</v>
          </cell>
          <cell r="H150">
            <v>3.2135014077119051</v>
          </cell>
          <cell r="I150">
            <v>3.2135014077119051</v>
          </cell>
          <cell r="J150">
            <v>3.1303188651067217</v>
          </cell>
          <cell r="K150">
            <v>3.0533430110516417</v>
          </cell>
          <cell r="L150">
            <v>3.0319177248578497</v>
          </cell>
          <cell r="M150">
            <v>3.0204485410427733</v>
          </cell>
          <cell r="N150">
            <v>3.0145948811684216</v>
          </cell>
          <cell r="O150">
            <v>3.0117734768270981</v>
          </cell>
          <cell r="P150">
            <v>3.0111803242800139</v>
          </cell>
        </row>
        <row r="152">
          <cell r="E152">
            <v>12150.026229192101</v>
          </cell>
          <cell r="F152">
            <v>12150.026229192101</v>
          </cell>
          <cell r="G152">
            <v>12150.026229192101</v>
          </cell>
          <cell r="H152">
            <v>12150.026229192101</v>
          </cell>
          <cell r="I152">
            <v>12150.026229192101</v>
          </cell>
          <cell r="J152">
            <v>12150.026229192101</v>
          </cell>
          <cell r="K152">
            <v>12150.026229192101</v>
          </cell>
          <cell r="L152">
            <v>12150.026229192101</v>
          </cell>
          <cell r="M152">
            <v>12150.026229192101</v>
          </cell>
          <cell r="N152">
            <v>12150.026229192101</v>
          </cell>
          <cell r="O152">
            <v>12150.026229192101</v>
          </cell>
          <cell r="P152">
            <v>12150.026229192101</v>
          </cell>
        </row>
        <row r="153">
          <cell r="E153">
            <v>186467.76680383334</v>
          </cell>
          <cell r="F153">
            <v>211613.35677508332</v>
          </cell>
          <cell r="G153">
            <v>218162.51454583331</v>
          </cell>
          <cell r="H153">
            <v>201316.73733883331</v>
          </cell>
          <cell r="I153">
            <v>186659.65787383332</v>
          </cell>
          <cell r="J153">
            <v>156662.89173883334</v>
          </cell>
          <cell r="K153">
            <v>139053.45725983332</v>
          </cell>
          <cell r="L153">
            <v>136425.24146683334</v>
          </cell>
          <cell r="M153">
            <v>130390.38940933334</v>
          </cell>
          <cell r="N153">
            <v>130475.95695433333</v>
          </cell>
          <cell r="O153">
            <v>137513.95366483333</v>
          </cell>
          <cell r="P153">
            <v>159153.10061383332</v>
          </cell>
        </row>
        <row r="154">
          <cell r="E154">
            <v>-44455.169330293043</v>
          </cell>
          <cell r="F154">
            <v>-57036.821027545797</v>
          </cell>
          <cell r="G154">
            <v>-83877.677981684988</v>
          </cell>
          <cell r="H154">
            <v>-109040.98137619048</v>
          </cell>
          <cell r="I154">
            <v>-109879.75815600733</v>
          </cell>
          <cell r="J154">
            <v>-99814.436798205134</v>
          </cell>
          <cell r="K154">
            <v>-84716.454761501838</v>
          </cell>
          <cell r="L154">
            <v>-67940.919165164843</v>
          </cell>
          <cell r="M154">
            <v>-54520.49068809524</v>
          </cell>
          <cell r="N154">
            <v>-46132.722889926743</v>
          </cell>
          <cell r="O154">
            <v>-41100.062211025645</v>
          </cell>
          <cell r="P154">
            <v>-40261.285431208795</v>
          </cell>
        </row>
        <row r="158">
          <cell r="E158">
            <v>-188563.0282535835</v>
          </cell>
          <cell r="F158">
            <v>-255351.10349083497</v>
          </cell>
          <cell r="G158">
            <v>-325529.11110768863</v>
          </cell>
          <cell r="H158">
            <v>-309146.89742420788</v>
          </cell>
          <cell r="I158">
            <v>-361940.2090343443</v>
          </cell>
          <cell r="J158">
            <v>-258445.3980574763</v>
          </cell>
          <cell r="K158">
            <v>-239826.04881044661</v>
          </cell>
          <cell r="L158">
            <v>-149320.59618839755</v>
          </cell>
          <cell r="M158">
            <v>-90912.066502891423</v>
          </cell>
          <cell r="N158">
            <v>-41888.248540427354</v>
          </cell>
          <cell r="O158">
            <v>-96370.079089789608</v>
          </cell>
          <cell r="P158">
            <v>-102692.08682533968</v>
          </cell>
        </row>
        <row r="159">
          <cell r="B159">
            <v>159823132.76412007</v>
          </cell>
        </row>
        <row r="175">
          <cell r="E175">
            <v>16701988.110900002</v>
          </cell>
          <cell r="F175">
            <v>23065926.862500001</v>
          </cell>
          <cell r="G175">
            <v>24723411.875</v>
          </cell>
          <cell r="H175">
            <v>20460020.425000001</v>
          </cell>
          <cell r="I175">
            <v>16750552.675000001</v>
          </cell>
          <cell r="J175">
            <v>9158860.4250000007</v>
          </cell>
          <cell r="K175">
            <v>4702199.7750000004</v>
          </cell>
          <cell r="L175">
            <v>4037041.2250000001</v>
          </cell>
          <cell r="M175">
            <v>2509718.6</v>
          </cell>
          <cell r="N175">
            <v>2531374.35</v>
          </cell>
          <cell r="O175">
            <v>4312576.5250000004</v>
          </cell>
          <cell r="P175">
            <v>9789091.6750000007</v>
          </cell>
        </row>
        <row r="178">
          <cell r="E178">
            <v>20785.448642897398</v>
          </cell>
          <cell r="F178">
            <v>22720.826467321302</v>
          </cell>
          <cell r="G178">
            <v>35900.575006876265</v>
          </cell>
          <cell r="H178">
            <v>34510.785430877928</v>
          </cell>
          <cell r="I178">
            <v>39848.425400999462</v>
          </cell>
          <cell r="J178">
            <v>52390.962997144743</v>
          </cell>
          <cell r="K178">
            <v>55187.358324544213</v>
          </cell>
          <cell r="L178">
            <v>54072.880299238379</v>
          </cell>
          <cell r="M178">
            <v>56415.738025229213</v>
          </cell>
          <cell r="N178">
            <v>56855.767560865017</v>
          </cell>
          <cell r="O178">
            <v>55581.43731529345</v>
          </cell>
          <cell r="P178">
            <v>58547.49587801387</v>
          </cell>
        </row>
        <row r="181">
          <cell r="B181">
            <v>46822214.367894776</v>
          </cell>
        </row>
        <row r="183">
          <cell r="E183">
            <v>48846799.22132419</v>
          </cell>
          <cell r="F183">
            <v>52386393.567648605</v>
          </cell>
          <cell r="G183">
            <v>56339397.554206528</v>
          </cell>
          <cell r="H183">
            <v>59424092.113513619</v>
          </cell>
          <cell r="I183">
            <v>61365124.615632348</v>
          </cell>
          <cell r="J183">
            <v>62984510.086670607</v>
          </cell>
          <cell r="K183">
            <v>63873335.015681721</v>
          </cell>
          <cell r="L183">
            <v>64666599.834037118</v>
          </cell>
          <cell r="M183">
            <v>65219378.658617854</v>
          </cell>
          <cell r="N183">
            <v>65785889.38226065</v>
          </cell>
          <cell r="O183">
            <v>66654147.720905736</v>
          </cell>
        </row>
      </sheetData>
      <sheetData sheetId="25">
        <row r="68">
          <cell r="E68">
            <v>2.5750000000000002</v>
          </cell>
          <cell r="F68">
            <v>2.5750000000000002</v>
          </cell>
          <cell r="G68">
            <v>2.5750000000000002</v>
          </cell>
          <cell r="H68">
            <v>2.5750000000000002</v>
          </cell>
          <cell r="I68">
            <v>2.5750000000000002</v>
          </cell>
          <cell r="J68">
            <v>2.5750000000000002</v>
          </cell>
          <cell r="K68">
            <v>2.5750000000000002</v>
          </cell>
          <cell r="L68">
            <v>2.5750000000000002</v>
          </cell>
          <cell r="M68">
            <v>2.5750000000000002</v>
          </cell>
          <cell r="N68">
            <v>2.5750000000000002</v>
          </cell>
          <cell r="O68">
            <v>2.5750000000000002</v>
          </cell>
          <cell r="P68">
            <v>2.5750000000000002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2">
          <cell r="B12">
            <v>3.2135014077119051</v>
          </cell>
        </row>
        <row r="19">
          <cell r="J19">
            <v>2.996615784612227</v>
          </cell>
          <cell r="K19">
            <v>2.9966157846122266</v>
          </cell>
          <cell r="L19">
            <v>2.996615784612227</v>
          </cell>
          <cell r="M19">
            <v>2.9966157846122266</v>
          </cell>
          <cell r="N19">
            <v>2.9966157846122266</v>
          </cell>
          <cell r="O19">
            <v>2.996615784612227</v>
          </cell>
          <cell r="P19">
            <v>2.9966191940897797</v>
          </cell>
        </row>
        <row r="23">
          <cell r="E23">
            <v>57081085.84451478</v>
          </cell>
          <cell r="F23">
            <v>50958118.824277408</v>
          </cell>
          <cell r="G23">
            <v>37324488.830406211</v>
          </cell>
          <cell r="H23">
            <v>21582721.575540811</v>
          </cell>
          <cell r="I23">
            <v>9680040.9014322236</v>
          </cell>
          <cell r="J23">
            <v>3833136.1466271589</v>
          </cell>
          <cell r="K23">
            <v>6056945.6966983844</v>
          </cell>
          <cell r="L23">
            <v>13924851.110928893</v>
          </cell>
          <cell r="M23">
            <v>22219043.1002152</v>
          </cell>
          <cell r="N23">
            <v>32787151.05210723</v>
          </cell>
          <cell r="O23">
            <v>43377808.537778467</v>
          </cell>
          <cell r="P23">
            <v>51403860.350041889</v>
          </cell>
        </row>
        <row r="25">
          <cell r="E25">
            <v>6122967.0202373713</v>
          </cell>
          <cell r="F25">
            <v>13633629.993871197</v>
          </cell>
          <cell r="G25">
            <v>15741767.2548654</v>
          </cell>
          <cell r="H25">
            <v>11902680.674108587</v>
          </cell>
          <cell r="I25">
            <v>5846904.7548050648</v>
          </cell>
          <cell r="J25">
            <v>-2223809.550071226</v>
          </cell>
          <cell r="K25">
            <v>-7867905.4142305078</v>
          </cell>
          <cell r="L25">
            <v>-8294191.9892863063</v>
          </cell>
          <cell r="M25">
            <v>-10568107.951892031</v>
          </cell>
          <cell r="N25">
            <v>-10590657.485671239</v>
          </cell>
          <cell r="O25">
            <v>-8026051.8122634199</v>
          </cell>
          <cell r="P25">
            <v>-2083417.4744060838</v>
          </cell>
        </row>
        <row r="30">
          <cell r="E30">
            <v>50958118.824277408</v>
          </cell>
          <cell r="F30">
            <v>37324488.830406211</v>
          </cell>
          <cell r="G30">
            <v>21582721.575540811</v>
          </cell>
          <cell r="H30">
            <v>9680040.9014322236</v>
          </cell>
          <cell r="I30">
            <v>3833136.1466271589</v>
          </cell>
          <cell r="J30">
            <v>6056945.6966983844</v>
          </cell>
          <cell r="K30">
            <v>13924851.110928893</v>
          </cell>
          <cell r="L30">
            <v>22219043.1002152</v>
          </cell>
          <cell r="M30">
            <v>32787151.05210723</v>
          </cell>
          <cell r="N30">
            <v>43377808.537778467</v>
          </cell>
          <cell r="O30">
            <v>51403860.350041889</v>
          </cell>
          <cell r="P30">
            <v>53487277.824447975</v>
          </cell>
        </row>
        <row r="32">
          <cell r="E32">
            <v>3.2135014077119051</v>
          </cell>
          <cell r="F32">
            <v>3.2135014077119051</v>
          </cell>
          <cell r="G32">
            <v>3.2135014077119051</v>
          </cell>
          <cell r="H32">
            <v>3.2135014077119051</v>
          </cell>
          <cell r="I32">
            <v>3.2135014077119051</v>
          </cell>
          <cell r="J32">
            <v>3.1303188651067217</v>
          </cell>
          <cell r="K32">
            <v>3.0533430110516417</v>
          </cell>
          <cell r="L32">
            <v>3.0319177248578497</v>
          </cell>
          <cell r="M32">
            <v>3.0204485410427733</v>
          </cell>
          <cell r="N32">
            <v>3.0145948811684216</v>
          </cell>
          <cell r="O32">
            <v>3.0117734768270981</v>
          </cell>
          <cell r="P32">
            <v>3.0111803242800139</v>
          </cell>
        </row>
        <row r="35">
          <cell r="E35">
            <v>17762894.302000001</v>
          </cell>
          <cell r="F35">
            <v>15857506.302000001</v>
          </cell>
          <cell r="G35">
            <v>11614897.302000001</v>
          </cell>
          <cell r="H35">
            <v>6716263.3020000011</v>
          </cell>
          <cell r="I35">
            <v>3012303.3020000011</v>
          </cell>
          <cell r="J35">
            <v>1192822.3020000011</v>
          </cell>
          <cell r="K35">
            <v>1934929.3020000011</v>
          </cell>
          <cell r="L35">
            <v>4560526.3020000011</v>
          </cell>
          <cell r="M35">
            <v>7328379.3020000011</v>
          </cell>
          <cell r="N35">
            <v>10855060.302000001</v>
          </cell>
          <cell r="O35">
            <v>14389266.302000001</v>
          </cell>
          <cell r="P35">
            <v>17067638.302000001</v>
          </cell>
        </row>
        <row r="37">
          <cell r="E37">
            <v>1905388</v>
          </cell>
          <cell r="F37">
            <v>4242609</v>
          </cell>
          <cell r="G37">
            <v>4898634</v>
          </cell>
          <cell r="H37">
            <v>3703960</v>
          </cell>
          <cell r="I37">
            <v>1819481</v>
          </cell>
          <cell r="J37">
            <v>-742107</v>
          </cell>
          <cell r="K37">
            <v>-2625597</v>
          </cell>
          <cell r="L37">
            <v>-2767853</v>
          </cell>
          <cell r="M37">
            <v>-3526681</v>
          </cell>
          <cell r="N37">
            <v>-3534206</v>
          </cell>
          <cell r="O37">
            <v>-2678372</v>
          </cell>
          <cell r="P37">
            <v>-695256</v>
          </cell>
        </row>
        <row r="39">
          <cell r="E39">
            <v>15857506.302000001</v>
          </cell>
          <cell r="F39">
            <v>11614897.302000001</v>
          </cell>
          <cell r="G39">
            <v>6716263.3020000011</v>
          </cell>
          <cell r="H39">
            <v>3012303.3020000011</v>
          </cell>
          <cell r="I39">
            <v>1192822.3020000011</v>
          </cell>
          <cell r="J39">
            <v>1934929.3020000011</v>
          </cell>
          <cell r="K39">
            <v>4560526.3020000011</v>
          </cell>
          <cell r="L39">
            <v>7328379.3020000011</v>
          </cell>
          <cell r="M39">
            <v>10855060.302000001</v>
          </cell>
          <cell r="N39">
            <v>14389266.302000001</v>
          </cell>
          <cell r="O39">
            <v>17067638.302000001</v>
          </cell>
          <cell r="P39">
            <v>17762894.302000001</v>
          </cell>
        </row>
      </sheetData>
      <sheetData sheetId="43"/>
      <sheetData sheetId="44">
        <row r="1">
          <cell r="C1">
            <v>44621</v>
          </cell>
          <cell r="D1">
            <v>44652</v>
          </cell>
          <cell r="E1">
            <v>44682</v>
          </cell>
          <cell r="F1">
            <v>44713</v>
          </cell>
          <cell r="G1">
            <v>44743</v>
          </cell>
          <cell r="H1">
            <v>44774</v>
          </cell>
          <cell r="I1">
            <v>44805</v>
          </cell>
          <cell r="J1">
            <v>44835</v>
          </cell>
          <cell r="K1">
            <v>44866</v>
          </cell>
          <cell r="L1">
            <v>44896</v>
          </cell>
          <cell r="M1">
            <v>44927</v>
          </cell>
          <cell r="N1">
            <v>44958</v>
          </cell>
          <cell r="O1">
            <v>44986</v>
          </cell>
        </row>
        <row r="7">
          <cell r="C7">
            <v>3964692.1013309229</v>
          </cell>
          <cell r="D7">
            <v>6335873.8709935751</v>
          </cell>
          <cell r="E7">
            <v>14753748.503907261</v>
          </cell>
          <cell r="F7">
            <v>23628539.254420854</v>
          </cell>
          <cell r="G7">
            <v>34939741.543832466</v>
          </cell>
          <cell r="H7">
            <v>46274930.97576648</v>
          </cell>
          <cell r="I7">
            <v>54862828.064832509</v>
          </cell>
          <cell r="J7">
            <v>57081085.84451478</v>
          </cell>
          <cell r="K7">
            <v>50958118.824277408</v>
          </cell>
          <cell r="L7">
            <v>37324488.830406211</v>
          </cell>
          <cell r="M7">
            <v>21582721.575540811</v>
          </cell>
          <cell r="N7">
            <v>9680040.9014322236</v>
          </cell>
          <cell r="O7">
            <v>3833136.1466271589</v>
          </cell>
        </row>
        <row r="9">
          <cell r="D9">
            <v>5150282.986162249</v>
          </cell>
          <cell r="E9">
            <v>10544811.187450418</v>
          </cell>
          <cell r="F9">
            <v>19191143.879164059</v>
          </cell>
          <cell r="G9">
            <v>29284140.39912666</v>
          </cell>
          <cell r="H9">
            <v>40607336.259799473</v>
          </cell>
          <cell r="I9">
            <v>50568879.520299494</v>
          </cell>
          <cell r="J9">
            <v>55971956.954673648</v>
          </cell>
          <cell r="K9">
            <v>54019602.334396094</v>
          </cell>
          <cell r="L9">
            <v>44141303.82734181</v>
          </cell>
          <cell r="M9">
            <v>29453605.202973511</v>
          </cell>
          <cell r="N9">
            <v>15631381.238486517</v>
          </cell>
          <cell r="O9">
            <v>6756588.5240296908</v>
          </cell>
        </row>
        <row r="11">
          <cell r="D11">
            <v>2.5999999999999999E-3</v>
          </cell>
          <cell r="E11">
            <v>2.5999999999999999E-3</v>
          </cell>
          <cell r="F11">
            <v>2.5999999999999999E-3</v>
          </cell>
          <cell r="G11">
            <v>3.5999999999999999E-3</v>
          </cell>
          <cell r="H11">
            <v>3.5999999999999999E-3</v>
          </cell>
          <cell r="I11">
            <v>3.5999999999999999E-3</v>
          </cell>
          <cell r="J11">
            <v>5.3E-3</v>
          </cell>
          <cell r="K11">
            <v>5.3E-3</v>
          </cell>
          <cell r="L11">
            <v>5.3E-3</v>
          </cell>
          <cell r="M11">
            <v>7.7999999999999996E-3</v>
          </cell>
          <cell r="N11">
            <v>7.7999999999999996E-3</v>
          </cell>
          <cell r="O11">
            <v>7.7999999999999996E-3</v>
          </cell>
        </row>
        <row r="13">
          <cell r="D13">
            <v>1100.6084189606997</v>
          </cell>
          <cell r="E13">
            <v>2328.5254293383664</v>
          </cell>
          <cell r="F13">
            <v>4101.1211577391687</v>
          </cell>
          <cell r="G13">
            <v>8953.7262151850282</v>
          </cell>
          <cell r="H13">
            <v>12415.832127653757</v>
          </cell>
          <cell r="I13">
            <v>14962.846542992726</v>
          </cell>
          <cell r="J13">
            <v>25195.048020966795</v>
          </cell>
          <cell r="K13">
            <v>23531.82677032597</v>
          </cell>
          <cell r="L13">
            <v>19869.633476252766</v>
          </cell>
          <cell r="M13">
            <v>19512.004761860258</v>
          </cell>
          <cell r="N13">
            <v>9353.13332187796</v>
          </cell>
          <cell r="O13">
            <v>4476.0085071517242</v>
          </cell>
        </row>
      </sheetData>
      <sheetData sheetId="45">
        <row r="12">
          <cell r="E12">
            <v>116666.66666666667</v>
          </cell>
          <cell r="F12">
            <v>116666.66666666667</v>
          </cell>
          <cell r="G12">
            <v>116666.66666666667</v>
          </cell>
          <cell r="H12">
            <v>116666.66666666667</v>
          </cell>
          <cell r="I12">
            <v>116666.66666666667</v>
          </cell>
          <cell r="J12">
            <v>116666.66666666667</v>
          </cell>
          <cell r="K12">
            <v>116666.66666666667</v>
          </cell>
          <cell r="L12">
            <v>116666.66666666667</v>
          </cell>
          <cell r="M12">
            <v>116666.66666666667</v>
          </cell>
          <cell r="N12">
            <v>116666.66666666667</v>
          </cell>
          <cell r="O12">
            <v>116666.66666666667</v>
          </cell>
          <cell r="P12">
            <v>116666.66666666667</v>
          </cell>
        </row>
        <row r="13">
          <cell r="E13">
            <v>65993.933470499993</v>
          </cell>
          <cell r="F13">
            <v>91139.523441749989</v>
          </cell>
          <cell r="G13">
            <v>97688.6812125</v>
          </cell>
          <cell r="H13">
            <v>80842.904005499993</v>
          </cell>
          <cell r="I13">
            <v>66185.824540499991</v>
          </cell>
          <cell r="J13">
            <v>36189.0584055</v>
          </cell>
          <cell r="K13">
            <v>18579.623926499997</v>
          </cell>
          <cell r="L13">
            <v>15951.408133499999</v>
          </cell>
          <cell r="M13">
            <v>9916.5560759999989</v>
          </cell>
          <cell r="N13">
            <v>10002.123620999999</v>
          </cell>
          <cell r="O13">
            <v>17040.120331499998</v>
          </cell>
          <cell r="P13">
            <v>38679.267280499997</v>
          </cell>
        </row>
      </sheetData>
      <sheetData sheetId="46"/>
      <sheetData sheetId="47"/>
      <sheetData sheetId="48"/>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chedule 1 Actual"/>
      <sheetName val="CoGS 2008"/>
      <sheetName val="Panel Quarterly Review"/>
      <sheetName val="MFR Frcst (21 Rate App)"/>
      <sheetName val="MFR Detail (21 Rate App)"/>
      <sheetName val=" Sch 1.0 COGS (21 Rate App)"/>
      <sheetName val=" Schedule 1.0 Forecast COGS -A "/>
      <sheetName val=" Schedule 1 Forecast - Summer"/>
      <sheetName val="Schedule 1.1 Px Mgmt Annual"/>
      <sheetName val="Schedule 1.1 Hedges - Annual"/>
      <sheetName val=" Sch 1.1 Prices (21 Rate App) "/>
      <sheetName val=" Schedule 1.2 Prices - Annual"/>
      <sheetName val="Schedule 1.2 Storage - Summer"/>
      <sheetName val="Sch 1.2 Storage (21 Rate App) "/>
      <sheetName val="Schedule 1.3 Storage - Annual"/>
      <sheetName val="Schedule 2 Hedges - Summer"/>
      <sheetName val=" Schedule 3 Prices - Summer"/>
      <sheetName val="Indicative Rate - Summer only"/>
      <sheetName val=" Schedule 3.0 Rate - Annual"/>
      <sheetName val="Summary"/>
      <sheetName val=" Sch 3.0 Rate (21 Rate App) -no"/>
      <sheetName val="Sheet2"/>
      <sheetName val="Sch 2.0 (21 Rate App)"/>
      <sheetName val="Sch 2.1 (21 Rate App)"/>
      <sheetName val=" Sch 3.0 Rate (21 Rate App)"/>
      <sheetName val="Price Curves"/>
      <sheetName val="Operating Plan"/>
      <sheetName val="CoGS"/>
      <sheetName val="Accting Actuals &amp; GCVA"/>
      <sheetName val="Parking"/>
      <sheetName val="Calls"/>
      <sheetName val="Puts"/>
      <sheetName val="Physical Fixed Price Pur -Hedge"/>
      <sheetName val="Physical Fixed Price Swap"/>
      <sheetName val="Aeco Fixed Price Swap"/>
      <sheetName val="Other Gas Sales"/>
      <sheetName val=" AECO Financial Basis Swaps"/>
      <sheetName val="AECO Physical Basis Swaps"/>
      <sheetName val="Operating Expenses"/>
      <sheetName val="Phys Transportation Swap"/>
      <sheetName val="Transportation - Receipt"/>
      <sheetName val="Futures"/>
      <sheetName val="AECO NYMEX BasisSwp"/>
      <sheetName val="NymexSwp"/>
      <sheetName val="Exotics"/>
      <sheetName val="Year-to-year Link"/>
      <sheetName val="Inventory"/>
      <sheetName val="Inventory Consolidated"/>
      <sheetName val="Inventory Carrying Cost"/>
      <sheetName val="GCVA Interest"/>
      <sheetName val="Internal Usage"/>
      <sheetName val="Fin Planning Interface"/>
      <sheetName val="FinPlanning 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20">
          <cell r="B20">
            <v>54099912.5</v>
          </cell>
        </row>
        <row r="159">
          <cell r="B159">
            <v>167112228.98182583</v>
          </cell>
        </row>
        <row r="181">
          <cell r="B181">
            <v>18908169.553379353</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chedule 1 Actual"/>
      <sheetName val="CoGS 2008"/>
      <sheetName val="Panel Quarterly Review"/>
      <sheetName val=" Schedule 1.0 Forecast COGS"/>
      <sheetName val=" Schedule 1.0 Forecast COGS -A "/>
      <sheetName val=" Schedule 1 Forecast - Summer"/>
      <sheetName val="Schedule 1.1 Px Mgmt Annual"/>
      <sheetName val="Schedule 1.1 Hedges - Annual"/>
      <sheetName val=" Schedule 1.2 Prices "/>
      <sheetName val=" Schedule 1.2 Prices - Annual"/>
      <sheetName val="Schedule 1.2 Storage - Summer"/>
      <sheetName val="Schedule 1.3 Storage"/>
      <sheetName val="Schedule 1.3 Storage - Annual"/>
      <sheetName val="Schedule 2 Hedges - Summer"/>
      <sheetName val=" Schedule 3 Prices - Summer"/>
      <sheetName val="Indicative Rate - Summer only"/>
      <sheetName val=" Schedule 3.0 Rate - Annual"/>
      <sheetName val="Summary"/>
      <sheetName val="MFR Detail (21 Rate App)"/>
      <sheetName val="Sch 2.0 (21 Rate App)"/>
      <sheetName val=" Schedule 3.0 Rate "/>
      <sheetName val="Sheet2"/>
      <sheetName val="Sch 2.1 (21 Rate App)"/>
      <sheetName val="Price Curves"/>
      <sheetName val="Operating Plan"/>
      <sheetName val="CoGS"/>
      <sheetName val="Accting Actuals &amp; GCVA"/>
      <sheetName val="Parking"/>
      <sheetName val="Calls"/>
      <sheetName val="Puts"/>
      <sheetName val="Physical Fixed Price Pur -Hedge"/>
      <sheetName val="Physical Fixed Price Swap"/>
      <sheetName val="Aeco Fixed Price Swap"/>
      <sheetName val="Other Gas Sales"/>
      <sheetName val=" AECO Financial Basis Swaps"/>
      <sheetName val="AECO Physical Basis Swaps"/>
      <sheetName val="Phys Transportation Swap"/>
      <sheetName val="Transportation - Receipt"/>
      <sheetName val="AECO NYMEX BasisSwp"/>
      <sheetName val="Futures"/>
      <sheetName val="NymexSwp"/>
      <sheetName val="Exotics"/>
      <sheetName val="Year-to-year Link"/>
      <sheetName val="Inventory"/>
      <sheetName val="Inventory Consolidated"/>
      <sheetName val="Inventory Carrying Cost"/>
      <sheetName val="Operating Expenses"/>
      <sheetName val="GCVA Interest"/>
      <sheetName val="Internal Usage"/>
      <sheetName val="Fin Planning Interface"/>
      <sheetName val="FinPlanning Upload"/>
      <sheetName val="Sheet1"/>
    </sheetNames>
    <sheetDataSet>
      <sheetData sheetId="0"/>
      <sheetData sheetId="1"/>
      <sheetData sheetId="2"/>
      <sheetData sheetId="3"/>
      <sheetData sheetId="4">
        <row r="9">
          <cell r="D9">
            <v>44136</v>
          </cell>
          <cell r="E9">
            <v>44166</v>
          </cell>
          <cell r="F9">
            <v>44197</v>
          </cell>
          <cell r="G9">
            <v>44228</v>
          </cell>
          <cell r="H9">
            <v>44256</v>
          </cell>
          <cell r="I9">
            <v>44287</v>
          </cell>
          <cell r="J9">
            <v>44317</v>
          </cell>
          <cell r="K9">
            <v>44348</v>
          </cell>
          <cell r="L9">
            <v>44378</v>
          </cell>
          <cell r="M9">
            <v>44409</v>
          </cell>
          <cell r="N9">
            <v>44440</v>
          </cell>
          <cell r="O9">
            <v>44470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1">
          <cell r="E1">
            <v>44136</v>
          </cell>
          <cell r="F1">
            <v>44166</v>
          </cell>
          <cell r="G1">
            <v>44197</v>
          </cell>
          <cell r="H1">
            <v>44228</v>
          </cell>
          <cell r="I1">
            <v>44256</v>
          </cell>
          <cell r="J1">
            <v>44287</v>
          </cell>
          <cell r="K1">
            <v>44317</v>
          </cell>
          <cell r="L1">
            <v>44348</v>
          </cell>
          <cell r="M1">
            <v>44378</v>
          </cell>
          <cell r="N1">
            <v>44409</v>
          </cell>
          <cell r="O1">
            <v>44440</v>
          </cell>
          <cell r="P1">
            <v>44470</v>
          </cell>
        </row>
        <row r="11">
          <cell r="E11">
            <v>49895</v>
          </cell>
          <cell r="F11">
            <v>36767</v>
          </cell>
          <cell r="G11">
            <v>36049</v>
          </cell>
          <cell r="H11">
            <v>41931</v>
          </cell>
          <cell r="I11">
            <v>29624</v>
          </cell>
          <cell r="J11">
            <v>30369</v>
          </cell>
          <cell r="K11">
            <v>48691</v>
          </cell>
          <cell r="L11">
            <v>50754</v>
          </cell>
          <cell r="M11">
            <v>52652</v>
          </cell>
          <cell r="N11">
            <v>59663.43</v>
          </cell>
          <cell r="O11">
            <v>23595</v>
          </cell>
          <cell r="P11">
            <v>24381.5</v>
          </cell>
        </row>
        <row r="17">
          <cell r="E17">
            <v>6526459</v>
          </cell>
          <cell r="F17">
            <v>4933654</v>
          </cell>
          <cell r="G17">
            <v>4177788</v>
          </cell>
          <cell r="H17">
            <v>5205934</v>
          </cell>
          <cell r="I17">
            <v>3747304</v>
          </cell>
          <cell r="J17">
            <v>3583217</v>
          </cell>
          <cell r="K17">
            <v>4416879</v>
          </cell>
          <cell r="L17">
            <v>4103816</v>
          </cell>
          <cell r="M17">
            <v>4268565</v>
          </cell>
          <cell r="N17">
            <v>4241315</v>
          </cell>
          <cell r="O17">
            <v>4610700</v>
          </cell>
          <cell r="P17">
            <v>4764326</v>
          </cell>
        </row>
        <row r="20">
          <cell r="E20">
            <v>6711143</v>
          </cell>
          <cell r="F20">
            <v>8137171</v>
          </cell>
          <cell r="G20">
            <v>8579241</v>
          </cell>
          <cell r="H20">
            <v>9962204</v>
          </cell>
          <cell r="I20">
            <v>5692222</v>
          </cell>
          <cell r="J20">
            <v>3894320</v>
          </cell>
          <cell r="K20">
            <v>2189009</v>
          </cell>
          <cell r="L20">
            <v>1777059</v>
          </cell>
          <cell r="M20">
            <v>840262</v>
          </cell>
          <cell r="N20">
            <v>997553.57</v>
          </cell>
          <cell r="O20">
            <v>1692114</v>
          </cell>
          <cell r="P20">
            <v>3833960.5</v>
          </cell>
        </row>
        <row r="50">
          <cell r="E50">
            <v>14079086</v>
          </cell>
          <cell r="F50">
            <v>9949645</v>
          </cell>
          <cell r="G50">
            <v>8291956.25</v>
          </cell>
          <cell r="H50">
            <v>13439628</v>
          </cell>
          <cell r="I50">
            <v>7122831.25</v>
          </cell>
          <cell r="J50">
            <v>7299895</v>
          </cell>
          <cell r="K50">
            <v>9692514</v>
          </cell>
          <cell r="L50">
            <v>9469602.7100000009</v>
          </cell>
          <cell r="M50">
            <v>10426515</v>
          </cell>
          <cell r="N50">
            <v>9579884</v>
          </cell>
          <cell r="O50">
            <v>10585370.16</v>
          </cell>
          <cell r="P50">
            <v>11225465.83</v>
          </cell>
        </row>
        <row r="54">
          <cell r="E54">
            <v>17707737</v>
          </cell>
          <cell r="F54">
            <v>12324885</v>
          </cell>
          <cell r="G54">
            <v>10460262.15</v>
          </cell>
          <cell r="H54">
            <v>15744761</v>
          </cell>
          <cell r="I54">
            <v>9576781.25</v>
          </cell>
          <cell r="J54">
            <v>8986634.1600000001</v>
          </cell>
          <cell r="K54">
            <v>11710292</v>
          </cell>
          <cell r="L54">
            <v>11216998.670000002</v>
          </cell>
          <cell r="M54">
            <v>12610392</v>
          </cell>
          <cell r="N54">
            <v>12003491.83</v>
          </cell>
          <cell r="O54">
            <v>13809326.76</v>
          </cell>
          <cell r="P54">
            <v>14728310.83</v>
          </cell>
        </row>
        <row r="108">
          <cell r="E108">
            <v>1182135</v>
          </cell>
          <cell r="F108">
            <v>776364</v>
          </cell>
          <cell r="G108">
            <v>1036888</v>
          </cell>
          <cell r="H108">
            <v>2739113.9999999995</v>
          </cell>
          <cell r="I108">
            <v>998866.5</v>
          </cell>
          <cell r="J108">
            <v>0</v>
          </cell>
          <cell r="K108">
            <v>0</v>
          </cell>
          <cell r="L108">
            <v>0</v>
          </cell>
          <cell r="M108">
            <v>0</v>
          </cell>
          <cell r="N108">
            <v>0</v>
          </cell>
          <cell r="O108">
            <v>0</v>
          </cell>
          <cell r="P108">
            <v>0</v>
          </cell>
        </row>
        <row r="118">
          <cell r="E118">
            <v>528042.34988871065</v>
          </cell>
          <cell r="F118">
            <v>3246.7071628225917</v>
          </cell>
          <cell r="G118">
            <v>10505.314943514904</v>
          </cell>
          <cell r="H118">
            <v>1512.0484577351792</v>
          </cell>
          <cell r="I118">
            <v>7405.6412997799589</v>
          </cell>
          <cell r="J118">
            <v>250.79093365169757</v>
          </cell>
          <cell r="K118">
            <v>10595.442218617609</v>
          </cell>
          <cell r="L118">
            <v>0</v>
          </cell>
          <cell r="M118">
            <v>0</v>
          </cell>
          <cell r="N118">
            <v>1697.8405031689697</v>
          </cell>
          <cell r="O118">
            <v>0</v>
          </cell>
          <cell r="P118">
            <v>0</v>
          </cell>
        </row>
        <row r="122">
          <cell r="E122">
            <v>13770.650111289346</v>
          </cell>
          <cell r="F122">
            <v>-294.70716282259173</v>
          </cell>
          <cell r="G122">
            <v>293.62505648509614</v>
          </cell>
          <cell r="H122">
            <v>-30.048457735179227</v>
          </cell>
          <cell r="I122">
            <v>-120.6412997799589</v>
          </cell>
          <cell r="J122">
            <v>11.209066348302429</v>
          </cell>
          <cell r="K122">
            <v>1240.5577813823911</v>
          </cell>
          <cell r="L122">
            <v>0</v>
          </cell>
          <cell r="M122">
            <v>0</v>
          </cell>
          <cell r="N122">
            <v>337.51949683103044</v>
          </cell>
          <cell r="O122">
            <v>0</v>
          </cell>
          <cell r="P122">
            <v>0</v>
          </cell>
        </row>
        <row r="143">
          <cell r="E143">
            <v>2320591</v>
          </cell>
          <cell r="F143">
            <v>2327286</v>
          </cell>
          <cell r="G143">
            <v>2328352.58</v>
          </cell>
          <cell r="H143">
            <v>2247974</v>
          </cell>
          <cell r="I143">
            <v>2247637.0499999998</v>
          </cell>
          <cell r="J143">
            <v>2333859</v>
          </cell>
          <cell r="K143">
            <v>2352720</v>
          </cell>
          <cell r="L143">
            <v>2351208.9399999995</v>
          </cell>
          <cell r="M143">
            <v>2353372</v>
          </cell>
          <cell r="N143">
            <v>2687762</v>
          </cell>
          <cell r="O143">
            <v>2307000</v>
          </cell>
          <cell r="P143">
            <v>2383900</v>
          </cell>
        </row>
        <row r="148">
          <cell r="E148">
            <v>707631.92072814459</v>
          </cell>
          <cell r="F148">
            <v>8791514.0967124682</v>
          </cell>
          <cell r="G148">
            <v>12031899.175415918</v>
          </cell>
          <cell r="H148">
            <v>12996717.926301701</v>
          </cell>
          <cell r="I148">
            <v>5455984.509072775</v>
          </cell>
          <cell r="J148">
            <v>1055529.5128308327</v>
          </cell>
          <cell r="K148">
            <v>-6920285.6703441935</v>
          </cell>
          <cell r="L148">
            <v>-7549884.0045633735</v>
          </cell>
          <cell r="M148">
            <v>-11962739.78746715</v>
          </cell>
          <cell r="N148">
            <v>-11147252.838856351</v>
          </cell>
          <cell r="O148">
            <v>-10060556.211315215</v>
          </cell>
          <cell r="P148">
            <v>-3148329.8593119523</v>
          </cell>
        </row>
        <row r="152">
          <cell r="E152">
            <v>3677.2371568016201</v>
          </cell>
          <cell r="F152">
            <v>3677.2371568016201</v>
          </cell>
          <cell r="G152">
            <v>3677.2371568016201</v>
          </cell>
          <cell r="H152">
            <v>3677.2371568016201</v>
          </cell>
          <cell r="I152">
            <v>3677.2371568016201</v>
          </cell>
          <cell r="J152">
            <v>3677.2371568016201</v>
          </cell>
          <cell r="K152">
            <v>3677.2371568016201</v>
          </cell>
          <cell r="L152">
            <v>3677.2371568016201</v>
          </cell>
          <cell r="M152">
            <v>3677.2371568016201</v>
          </cell>
          <cell r="N152">
            <v>3677.2371568016201</v>
          </cell>
          <cell r="O152">
            <v>3677.2371568016201</v>
          </cell>
          <cell r="P152">
            <v>3677.2371568016201</v>
          </cell>
        </row>
        <row r="154">
          <cell r="E154">
            <v>-50095</v>
          </cell>
          <cell r="F154">
            <v>-101407</v>
          </cell>
          <cell r="G154">
            <v>-86378</v>
          </cell>
          <cell r="H154">
            <v>-105158</v>
          </cell>
          <cell r="I154">
            <v>-144053.12</v>
          </cell>
          <cell r="J154">
            <v>-94190.41</v>
          </cell>
          <cell r="K154">
            <v>-88879.33</v>
          </cell>
          <cell r="L154">
            <v>-73751.61</v>
          </cell>
          <cell r="M154">
            <v>-39267.56</v>
          </cell>
          <cell r="N154">
            <v>-37082</v>
          </cell>
          <cell r="O154">
            <v>-42508</v>
          </cell>
          <cell r="P154">
            <v>-31026</v>
          </cell>
        </row>
        <row r="158">
          <cell r="E158">
            <v>-83071.86210008373</v>
          </cell>
          <cell r="F158">
            <v>-104041.7106960411</v>
          </cell>
          <cell r="G158">
            <v>-133551.47185997391</v>
          </cell>
          <cell r="H158">
            <v>-133848.79867113999</v>
          </cell>
          <cell r="I158">
            <v>-168750.30549282709</v>
          </cell>
          <cell r="J158">
            <v>-163941.09169409605</v>
          </cell>
          <cell r="K158">
            <v>-90663.213530849884</v>
          </cell>
          <cell r="L158">
            <v>-70001.254836559921</v>
          </cell>
          <cell r="M158">
            <v>-19144.373643598879</v>
          </cell>
          <cell r="N158">
            <v>-38948.947374338939</v>
          </cell>
          <cell r="O158">
            <v>-112271.75610116583</v>
          </cell>
          <cell r="P158">
            <v>-123489.65164023027</v>
          </cell>
        </row>
        <row r="174">
          <cell r="E174">
            <v>16983101</v>
          </cell>
          <cell r="F174">
            <v>20372935</v>
          </cell>
          <cell r="G174">
            <v>21623718</v>
          </cell>
          <cell r="H174">
            <v>25176019</v>
          </cell>
          <cell r="I174">
            <v>14324699</v>
          </cell>
          <cell r="J174">
            <v>9800516</v>
          </cell>
          <cell r="K174">
            <v>5527605</v>
          </cell>
          <cell r="L174">
            <v>4538099</v>
          </cell>
          <cell r="M174">
            <v>2179469.6933840765</v>
          </cell>
          <cell r="N174">
            <v>2501405.0375826634</v>
          </cell>
          <cell r="O174">
            <v>4357193.5500000007</v>
          </cell>
          <cell r="P174">
            <v>9872448.2875000015</v>
          </cell>
        </row>
        <row r="178">
          <cell r="E178">
            <v>-328.98297443189085</v>
          </cell>
          <cell r="F178">
            <v>-251.50439288117227</v>
          </cell>
          <cell r="G178">
            <v>-5.6792383865128784</v>
          </cell>
          <cell r="H178">
            <v>114.74862679075633</v>
          </cell>
          <cell r="I178">
            <v>604.75582487638223</v>
          </cell>
          <cell r="J178">
            <v>636.77156332774621</v>
          </cell>
          <cell r="K178">
            <v>845.82600780132077</v>
          </cell>
          <cell r="L178">
            <v>1041.9796920941683</v>
          </cell>
          <cell r="M178">
            <v>1495.5559911344073</v>
          </cell>
          <cell r="N178">
            <v>1837.218643400656</v>
          </cell>
          <cell r="O178">
            <v>1970.6912208923707</v>
          </cell>
          <cell r="P178">
            <v>2451.9876023376146</v>
          </cell>
        </row>
        <row r="181">
          <cell r="B181">
            <v>-5608622.0941548124</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12">
          <cell r="B12">
            <v>2.6822425839040283</v>
          </cell>
        </row>
        <row r="19">
          <cell r="J19">
            <v>3.1862444914801724</v>
          </cell>
          <cell r="K19">
            <v>3.2169898726385822</v>
          </cell>
          <cell r="L19">
            <v>3.3476437345394672</v>
          </cell>
          <cell r="M19">
            <v>3.5493531294407639</v>
          </cell>
          <cell r="N19">
            <v>3.5128598697420483</v>
          </cell>
          <cell r="O19">
            <v>3.5133982675347522</v>
          </cell>
          <cell r="P19">
            <v>3.6102133326666594</v>
          </cell>
        </row>
        <row r="23">
          <cell r="E23">
            <v>49293149.933080927</v>
          </cell>
          <cell r="F23">
            <v>48585518.01235278</v>
          </cell>
          <cell r="G23">
            <v>39794003.915640309</v>
          </cell>
          <cell r="H23">
            <v>27762104.740224391</v>
          </cell>
          <cell r="I23">
            <v>14765386.81392269</v>
          </cell>
          <cell r="J23">
            <v>9309402.3048499152</v>
          </cell>
          <cell r="K23">
            <v>8253872.7920190822</v>
          </cell>
          <cell r="L23">
            <v>15174158.462363277</v>
          </cell>
          <cell r="M23">
            <v>22724042.466926649</v>
          </cell>
          <cell r="N23">
            <v>34686782.254393801</v>
          </cell>
          <cell r="O23">
            <v>45834035.093250155</v>
          </cell>
          <cell r="P23">
            <v>55894591.30456537</v>
          </cell>
        </row>
        <row r="25">
          <cell r="E25">
            <v>707631.92072814459</v>
          </cell>
          <cell r="F25">
            <v>8791514.0967124682</v>
          </cell>
          <cell r="G25">
            <v>12031899.175415918</v>
          </cell>
          <cell r="H25">
            <v>12996717.926301701</v>
          </cell>
          <cell r="I25">
            <v>5455984.509072775</v>
          </cell>
          <cell r="J25">
            <v>1055529.5128308327</v>
          </cell>
          <cell r="K25">
            <v>-6920285.6703441935</v>
          </cell>
          <cell r="L25">
            <v>-7549884.0045633735</v>
          </cell>
          <cell r="M25">
            <v>-11962739.78746715</v>
          </cell>
          <cell r="N25">
            <v>-11147252.838856351</v>
          </cell>
          <cell r="O25">
            <v>-10060556.211315215</v>
          </cell>
          <cell r="P25">
            <v>-3148329.8593119523</v>
          </cell>
        </row>
        <row r="30">
          <cell r="E30">
            <v>48585518.01235278</v>
          </cell>
          <cell r="F30">
            <v>39794003.915640309</v>
          </cell>
          <cell r="G30">
            <v>27762104.740224391</v>
          </cell>
          <cell r="H30">
            <v>14765386.81392269</v>
          </cell>
          <cell r="I30">
            <v>9309402.3048499152</v>
          </cell>
          <cell r="J30">
            <v>8253872.7920190822</v>
          </cell>
          <cell r="K30">
            <v>15174158.462363277</v>
          </cell>
          <cell r="L30">
            <v>22724042.466926649</v>
          </cell>
          <cell r="M30">
            <v>34686782.254393801</v>
          </cell>
          <cell r="N30">
            <v>45834035.093250155</v>
          </cell>
          <cell r="O30">
            <v>55894591.30456537</v>
          </cell>
          <cell r="P30">
            <v>59042921.163877323</v>
          </cell>
        </row>
        <row r="32">
          <cell r="E32">
            <v>2.6822425839040283</v>
          </cell>
          <cell r="F32">
            <v>2.6822425839040278</v>
          </cell>
          <cell r="G32">
            <v>2.6822425839040278</v>
          </cell>
          <cell r="H32">
            <v>2.6822425839040274</v>
          </cell>
          <cell r="I32">
            <v>2.6822425839040265</v>
          </cell>
          <cell r="J32">
            <v>2.6822425839040265</v>
          </cell>
          <cell r="K32">
            <v>2.9022586632460809</v>
          </cell>
          <cell r="L32">
            <v>3.0364799919811749</v>
          </cell>
          <cell r="M32">
            <v>3.1957369473062838</v>
          </cell>
          <cell r="N32">
            <v>3.2674765635668028</v>
          </cell>
          <cell r="O32">
            <v>3.3091673817605205</v>
          </cell>
          <cell r="P32">
            <v>3.3239471090716015</v>
          </cell>
        </row>
        <row r="35">
          <cell r="E35">
            <v>18377588.302000001</v>
          </cell>
          <cell r="F35">
            <v>18113767.302000001</v>
          </cell>
          <cell r="G35">
            <v>14836094.302000001</v>
          </cell>
          <cell r="H35">
            <v>10350333.302000001</v>
          </cell>
          <cell r="I35">
            <v>5504866.3020000011</v>
          </cell>
          <cell r="J35">
            <v>3470753.3020000011</v>
          </cell>
          <cell r="K35">
            <v>3077228.3020000011</v>
          </cell>
          <cell r="L35">
            <v>5228396.3020000011</v>
          </cell>
          <cell r="M35">
            <v>7483679.3020000011</v>
          </cell>
          <cell r="N35">
            <v>10854079.302000001</v>
          </cell>
          <cell r="O35">
            <v>14027349.302000001</v>
          </cell>
          <cell r="P35">
            <v>16890832.302000001</v>
          </cell>
        </row>
        <row r="37">
          <cell r="E37">
            <v>263821</v>
          </cell>
          <cell r="F37">
            <v>3277673</v>
          </cell>
          <cell r="G37">
            <v>4485761</v>
          </cell>
          <cell r="H37">
            <v>4845467</v>
          </cell>
          <cell r="I37">
            <v>2034113</v>
          </cell>
          <cell r="J37">
            <v>393525</v>
          </cell>
          <cell r="K37">
            <v>-2151168</v>
          </cell>
          <cell r="L37">
            <v>-2255283</v>
          </cell>
          <cell r="M37">
            <v>-3370400</v>
          </cell>
          <cell r="N37">
            <v>-3173270</v>
          </cell>
          <cell r="O37">
            <v>-2863483</v>
          </cell>
          <cell r="P37">
            <v>-872062</v>
          </cell>
        </row>
        <row r="39">
          <cell r="E39">
            <v>18113767.302000001</v>
          </cell>
          <cell r="F39">
            <v>14836094.302000001</v>
          </cell>
          <cell r="G39">
            <v>10350333.302000001</v>
          </cell>
          <cell r="H39">
            <v>5504866.3020000011</v>
          </cell>
          <cell r="I39">
            <v>3470753.3020000011</v>
          </cell>
          <cell r="J39">
            <v>3077228.3020000011</v>
          </cell>
          <cell r="K39">
            <v>5228396.3020000011</v>
          </cell>
          <cell r="L39">
            <v>7483679.3020000011</v>
          </cell>
          <cell r="M39">
            <v>10854079.302000001</v>
          </cell>
          <cell r="N39">
            <v>14027349.302000001</v>
          </cell>
          <cell r="O39">
            <v>16890832.302000001</v>
          </cell>
          <cell r="P39">
            <v>17762894.302000001</v>
          </cell>
        </row>
      </sheetData>
      <sheetData sheetId="44"/>
      <sheetData sheetId="45">
        <row r="1">
          <cell r="C1">
            <v>43891</v>
          </cell>
          <cell r="D1">
            <v>43922</v>
          </cell>
          <cell r="E1">
            <v>43952</v>
          </cell>
          <cell r="F1">
            <v>43983</v>
          </cell>
          <cell r="G1">
            <v>44013</v>
          </cell>
          <cell r="H1">
            <v>44044</v>
          </cell>
          <cell r="I1">
            <v>44075</v>
          </cell>
          <cell r="J1">
            <v>44105</v>
          </cell>
          <cell r="K1">
            <v>44136</v>
          </cell>
          <cell r="L1">
            <v>44166</v>
          </cell>
          <cell r="M1">
            <v>44197</v>
          </cell>
          <cell r="N1">
            <v>44228</v>
          </cell>
          <cell r="O1">
            <v>44256</v>
          </cell>
        </row>
        <row r="7">
          <cell r="C7">
            <v>12455741.456572954</v>
          </cell>
          <cell r="D7">
            <v>11583266.426280862</v>
          </cell>
          <cell r="E7">
            <v>16994929.028642572</v>
          </cell>
          <cell r="F7">
            <v>17559239.517200533</v>
          </cell>
          <cell r="G7">
            <v>26287239.491068967</v>
          </cell>
          <cell r="H7">
            <v>37531347.985562816</v>
          </cell>
          <cell r="I7">
            <v>46771880.426465824</v>
          </cell>
          <cell r="J7">
            <v>49293149.933080927</v>
          </cell>
          <cell r="K7">
            <v>48585518.01235278</v>
          </cell>
          <cell r="L7">
            <v>39794003.915640309</v>
          </cell>
          <cell r="M7">
            <v>27762104.740224391</v>
          </cell>
          <cell r="N7">
            <v>14765386.81392269</v>
          </cell>
          <cell r="O7">
            <v>9309402.3048499152</v>
          </cell>
        </row>
        <row r="9">
          <cell r="D9">
            <v>12019503.941426907</v>
          </cell>
          <cell r="E9">
            <v>14289097.727461718</v>
          </cell>
          <cell r="F9">
            <v>17277084.272921555</v>
          </cell>
          <cell r="G9">
            <v>21923239.504134752</v>
          </cell>
          <cell r="H9">
            <v>31909293.738315891</v>
          </cell>
          <cell r="I9">
            <v>42151614.20601432</v>
          </cell>
          <cell r="J9">
            <v>48032515.179773375</v>
          </cell>
          <cell r="K9">
            <v>48939333.972716853</v>
          </cell>
          <cell r="L9">
            <v>44189760.963996544</v>
          </cell>
          <cell r="M9">
            <v>33778054.32793235</v>
          </cell>
          <cell r="N9">
            <v>21263745.77707354</v>
          </cell>
          <cell r="O9">
            <v>12037394.559386302</v>
          </cell>
        </row>
        <row r="11">
          <cell r="D11">
            <v>7.0000000000000001E-3</v>
          </cell>
          <cell r="E11">
            <v>2.5000000000000001E-3</v>
          </cell>
          <cell r="F11">
            <v>1.6999999999999999E-3</v>
          </cell>
          <cell r="G11">
            <v>1.9E-3</v>
          </cell>
          <cell r="H11">
            <v>1.8E-3</v>
          </cell>
          <cell r="I11">
            <v>1.5E-3</v>
          </cell>
          <cell r="J11">
            <v>1.1999999999999999E-3</v>
          </cell>
          <cell r="K11">
            <v>8.9999999999999998E-4</v>
          </cell>
          <cell r="L11">
            <v>1.2999999999999999E-3</v>
          </cell>
          <cell r="M11">
            <v>8.0000000000000004E-4</v>
          </cell>
          <cell r="N11">
            <v>5.9999999999999995E-4</v>
          </cell>
          <cell r="O11">
            <v>1.4499999999999999E-3</v>
          </cell>
        </row>
        <row r="13">
          <cell r="D13">
            <v>6915.3310347935621</v>
          </cell>
          <cell r="E13">
            <v>3033.9865037761183</v>
          </cell>
          <cell r="F13">
            <v>2414.0583504630117</v>
          </cell>
          <cell r="G13">
            <v>3537.750155598731</v>
          </cell>
          <cell r="H13">
            <v>4878.1879194466483</v>
          </cell>
          <cell r="I13">
            <v>5196.7743541661494</v>
          </cell>
          <cell r="J13">
            <v>4895.3686703769026</v>
          </cell>
          <cell r="K13">
            <v>3620.1699103105616</v>
          </cell>
          <cell r="L13">
            <v>4879.0338817782485</v>
          </cell>
          <cell r="M13">
            <v>2295.0568420074583</v>
          </cell>
          <cell r="N13">
            <v>978.71487412283693</v>
          </cell>
          <cell r="O13">
            <v>1482.413384779217</v>
          </cell>
        </row>
      </sheetData>
      <sheetData sheetId="46">
        <row r="13">
          <cell r="E13">
            <v>59440.853500000005</v>
          </cell>
          <cell r="F13">
            <v>71305.272500000006</v>
          </cell>
          <cell r="G13">
            <v>75683.013000000006</v>
          </cell>
          <cell r="H13">
            <v>88116.066500000001</v>
          </cell>
          <cell r="I13">
            <v>50136.446499999998</v>
          </cell>
          <cell r="J13">
            <v>34301.806000000004</v>
          </cell>
          <cell r="K13">
            <v>19346.6175</v>
          </cell>
          <cell r="L13">
            <v>15883.3465</v>
          </cell>
          <cell r="M13">
            <v>7628.1439268442682</v>
          </cell>
          <cell r="N13">
            <v>8754.9176315393215</v>
          </cell>
          <cell r="O13">
            <v>15250.177425000003</v>
          </cell>
          <cell r="P13">
            <v>34553.569006250007</v>
          </cell>
        </row>
        <row r="17">
          <cell r="E17">
            <v>168994.8535</v>
          </cell>
          <cell r="F17">
            <v>180859.27250000002</v>
          </cell>
          <cell r="G17">
            <v>185237.01300000001</v>
          </cell>
          <cell r="H17">
            <v>197670.06650000002</v>
          </cell>
          <cell r="I17">
            <v>159690.44649999999</v>
          </cell>
          <cell r="J17">
            <v>143855.80600000001</v>
          </cell>
          <cell r="K17">
            <v>128900.61749999999</v>
          </cell>
          <cell r="L17">
            <v>125437.3465</v>
          </cell>
          <cell r="M17">
            <v>117182.14392684426</v>
          </cell>
          <cell r="N17">
            <v>118308.91763153933</v>
          </cell>
          <cell r="O17">
            <v>124804.177425</v>
          </cell>
          <cell r="P17">
            <v>144107.56900625001</v>
          </cell>
        </row>
      </sheetData>
      <sheetData sheetId="47"/>
      <sheetData sheetId="48"/>
      <sheetData sheetId="49"/>
      <sheetData sheetId="50"/>
      <sheetData sheetId="5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T49"/>
  <sheetViews>
    <sheetView workbookViewId="0">
      <selection activeCell="S37" sqref="S37"/>
    </sheetView>
  </sheetViews>
  <sheetFormatPr defaultColWidth="8.28515625" defaultRowHeight="15" x14ac:dyDescent="0.3"/>
  <cols>
    <col min="1" max="1" width="1.85546875" style="5" customWidth="1"/>
    <col min="2" max="2" width="8.28515625" style="5" customWidth="1"/>
    <col min="3" max="3" width="45.28515625" style="5" customWidth="1"/>
    <col min="4" max="7" width="11.28515625" style="5" customWidth="1"/>
    <col min="8" max="8" width="11.85546875" style="5" customWidth="1"/>
    <col min="9" max="9" width="11.28515625" style="5" customWidth="1"/>
    <col min="10" max="10" width="11.140625" style="5" customWidth="1"/>
    <col min="11" max="11" width="11.7109375" style="5" customWidth="1"/>
    <col min="12" max="12" width="12.42578125" style="5" customWidth="1"/>
    <col min="13" max="13" width="11.85546875" style="5" customWidth="1"/>
    <col min="14" max="14" width="12.28515625" style="5" customWidth="1"/>
    <col min="15" max="16" width="12.7109375" style="5" customWidth="1"/>
    <col min="17" max="17" width="13.140625" style="5" customWidth="1"/>
    <col min="18" max="18" width="2.140625" style="5" customWidth="1"/>
    <col min="19" max="16384" width="8.28515625" style="5"/>
  </cols>
  <sheetData>
    <row r="1" spans="1:18" ht="27" x14ac:dyDescent="0.5">
      <c r="A1" s="1"/>
      <c r="B1" s="2"/>
      <c r="C1" s="2"/>
      <c r="D1" s="1"/>
      <c r="E1" s="1"/>
      <c r="F1" s="1"/>
      <c r="G1" s="1"/>
      <c r="H1" s="1"/>
      <c r="I1" s="1"/>
      <c r="J1" s="1"/>
      <c r="K1" s="1"/>
      <c r="L1" s="1"/>
      <c r="M1" s="1"/>
      <c r="N1" s="1"/>
      <c r="O1" s="1"/>
      <c r="P1" s="1"/>
      <c r="Q1" s="3" t="s">
        <v>0</v>
      </c>
      <c r="R1" s="4"/>
    </row>
    <row r="2" spans="1:18" x14ac:dyDescent="0.3">
      <c r="A2" s="6"/>
      <c r="B2" s="1"/>
      <c r="C2" s="1"/>
      <c r="D2" s="1"/>
      <c r="E2" s="1"/>
      <c r="F2" s="1"/>
      <c r="G2" s="1"/>
      <c r="H2" s="4"/>
      <c r="I2" s="4"/>
      <c r="J2" s="4"/>
      <c r="K2" s="4"/>
      <c r="L2" s="4"/>
      <c r="M2" s="4"/>
      <c r="N2" s="4"/>
      <c r="O2" s="4"/>
      <c r="P2" s="4"/>
      <c r="Q2" s="4"/>
      <c r="R2" s="4"/>
    </row>
    <row r="3" spans="1:18" ht="22.5" x14ac:dyDescent="0.4">
      <c r="A3" s="6"/>
      <c r="B3" s="184" t="s">
        <v>1</v>
      </c>
      <c r="C3" s="184"/>
      <c r="D3" s="184"/>
      <c r="E3" s="184"/>
      <c r="F3" s="184"/>
      <c r="G3" s="184"/>
      <c r="H3" s="184"/>
      <c r="I3" s="184"/>
      <c r="J3" s="184"/>
      <c r="K3" s="184"/>
      <c r="L3" s="184"/>
      <c r="M3" s="184"/>
      <c r="N3" s="184"/>
      <c r="O3" s="184"/>
      <c r="P3" s="184"/>
      <c r="Q3" s="184"/>
      <c r="R3" s="4"/>
    </row>
    <row r="4" spans="1:18" s="9" customFormat="1" ht="18" x14ac:dyDescent="0.35">
      <c r="A4" s="7"/>
      <c r="B4" s="185" t="s">
        <v>2</v>
      </c>
      <c r="C4" s="185"/>
      <c r="D4" s="185"/>
      <c r="E4" s="185"/>
      <c r="F4" s="185"/>
      <c r="G4" s="185"/>
      <c r="H4" s="185"/>
      <c r="I4" s="185"/>
      <c r="J4" s="185"/>
      <c r="K4" s="185"/>
      <c r="L4" s="185"/>
      <c r="M4" s="185"/>
      <c r="N4" s="185"/>
      <c r="O4" s="185"/>
      <c r="P4" s="185"/>
      <c r="Q4" s="185"/>
      <c r="R4" s="8"/>
    </row>
    <row r="5" spans="1:18" s="9" customFormat="1" ht="18" x14ac:dyDescent="0.35">
      <c r="A5" s="7"/>
      <c r="B5" s="185" t="s">
        <v>3</v>
      </c>
      <c r="C5" s="185"/>
      <c r="D5" s="185"/>
      <c r="E5" s="185"/>
      <c r="F5" s="185"/>
      <c r="G5" s="185"/>
      <c r="H5" s="185"/>
      <c r="I5" s="185"/>
      <c r="J5" s="185"/>
      <c r="K5" s="185"/>
      <c r="L5" s="185"/>
      <c r="M5" s="185"/>
      <c r="N5" s="185"/>
      <c r="O5" s="185"/>
      <c r="P5" s="185"/>
      <c r="Q5" s="185"/>
      <c r="R5" s="8"/>
    </row>
    <row r="6" spans="1:18" ht="24" customHeight="1" x14ac:dyDescent="0.4">
      <c r="A6" s="6"/>
      <c r="B6" s="186"/>
      <c r="C6" s="186"/>
      <c r="D6" s="186"/>
      <c r="E6" s="186"/>
      <c r="F6" s="186"/>
      <c r="G6" s="186"/>
      <c r="H6" s="186"/>
      <c r="I6" s="186"/>
      <c r="J6" s="186"/>
      <c r="K6" s="186"/>
      <c r="L6" s="186"/>
      <c r="M6" s="186"/>
      <c r="N6" s="186"/>
      <c r="O6" s="186"/>
      <c r="P6" s="186"/>
      <c r="Q6" s="186"/>
      <c r="R6" s="4"/>
    </row>
    <row r="7" spans="1:18" ht="15.75" thickBot="1" x14ac:dyDescent="0.35">
      <c r="A7" s="6"/>
      <c r="B7" s="1"/>
      <c r="C7" s="10"/>
      <c r="D7" s="10"/>
      <c r="E7" s="10">
        <v>1</v>
      </c>
      <c r="F7" s="10">
        <v>2</v>
      </c>
      <c r="G7" s="10">
        <v>3</v>
      </c>
      <c r="H7" s="10">
        <v>4</v>
      </c>
      <c r="I7" s="11">
        <v>5</v>
      </c>
      <c r="J7" s="11">
        <v>6</v>
      </c>
      <c r="K7" s="11">
        <v>7</v>
      </c>
      <c r="L7" s="11">
        <v>8</v>
      </c>
      <c r="M7" s="11">
        <v>9</v>
      </c>
      <c r="N7" s="11">
        <v>10</v>
      </c>
      <c r="O7" s="11">
        <v>11</v>
      </c>
      <c r="P7" s="11">
        <v>12</v>
      </c>
      <c r="Q7" s="11">
        <v>13</v>
      </c>
      <c r="R7" s="4"/>
    </row>
    <row r="8" spans="1:18" x14ac:dyDescent="0.3">
      <c r="A8" s="1"/>
      <c r="B8" s="12"/>
      <c r="C8" s="13"/>
      <c r="D8" s="14"/>
      <c r="E8" s="14">
        <f>[2]CoGS!E1</f>
        <v>44501</v>
      </c>
      <c r="F8" s="14">
        <f>[2]CoGS!F1</f>
        <v>44531</v>
      </c>
      <c r="G8" s="14">
        <f>[2]CoGS!G1</f>
        <v>44562</v>
      </c>
      <c r="H8" s="14">
        <f>[2]CoGS!H1</f>
        <v>44593</v>
      </c>
      <c r="I8" s="14">
        <f>[2]CoGS!I1</f>
        <v>44621</v>
      </c>
      <c r="J8" s="14">
        <f>[2]CoGS!J1</f>
        <v>44652</v>
      </c>
      <c r="K8" s="14">
        <f>[2]CoGS!K1</f>
        <v>44682</v>
      </c>
      <c r="L8" s="14">
        <f>[2]CoGS!L1</f>
        <v>44713</v>
      </c>
      <c r="M8" s="14">
        <f>[2]CoGS!M1</f>
        <v>44743</v>
      </c>
      <c r="N8" s="14">
        <f>[2]CoGS!N1</f>
        <v>44774</v>
      </c>
      <c r="O8" s="14">
        <f>[2]CoGS!O1</f>
        <v>44805</v>
      </c>
      <c r="P8" s="15">
        <f>[2]CoGS!P1</f>
        <v>44835</v>
      </c>
      <c r="Q8" s="15" t="s">
        <v>4</v>
      </c>
      <c r="R8" s="4"/>
    </row>
    <row r="9" spans="1:18" x14ac:dyDescent="0.3">
      <c r="A9" s="1"/>
      <c r="B9" s="16" t="s">
        <v>5</v>
      </c>
      <c r="C9" s="17" t="s">
        <v>6</v>
      </c>
      <c r="D9" s="17"/>
      <c r="E9" s="18"/>
      <c r="F9" s="18"/>
      <c r="G9" s="18"/>
      <c r="H9" s="17"/>
      <c r="I9" s="17"/>
      <c r="J9" s="17"/>
      <c r="K9" s="17"/>
      <c r="L9" s="17"/>
      <c r="M9" s="17"/>
      <c r="N9" s="17"/>
      <c r="O9" s="17"/>
      <c r="P9" s="19"/>
      <c r="Q9" s="19"/>
      <c r="R9" s="4"/>
    </row>
    <row r="10" spans="1:18" ht="33" hidden="1" customHeight="1" x14ac:dyDescent="0.3">
      <c r="A10" s="1"/>
      <c r="B10" s="20">
        <v>1</v>
      </c>
      <c r="C10" s="21" t="s">
        <v>7</v>
      </c>
      <c r="D10" s="21"/>
      <c r="E10" s="22">
        <f>[2]CoGS!B181/1000</f>
        <v>18908.169553379354</v>
      </c>
      <c r="F10" s="23"/>
      <c r="G10" s="23"/>
      <c r="H10" s="24"/>
      <c r="I10" s="24"/>
      <c r="J10" s="24"/>
      <c r="K10" s="24"/>
      <c r="L10" s="24"/>
      <c r="M10" s="24"/>
      <c r="N10" s="24"/>
      <c r="O10" s="24"/>
      <c r="P10" s="25"/>
      <c r="Q10" s="25"/>
      <c r="R10" s="4"/>
    </row>
    <row r="11" spans="1:18" ht="24.95" hidden="1" customHeight="1" x14ac:dyDescent="0.3">
      <c r="A11" s="1"/>
      <c r="B11" s="26">
        <v>2</v>
      </c>
      <c r="C11" s="27" t="s">
        <v>8</v>
      </c>
      <c r="D11" s="28"/>
      <c r="E11" s="22">
        <f>E10</f>
        <v>18908.169553379354</v>
      </c>
      <c r="F11" s="29">
        <f>[2]CoGS!E183/1000</f>
        <v>21492.635714791006</v>
      </c>
      <c r="G11" s="29">
        <f>[2]CoGS!F183/1000</f>
        <v>25877.107678919161</v>
      </c>
      <c r="H11" s="29">
        <f>[2]CoGS!G183/1000</f>
        <v>30735.839719337411</v>
      </c>
      <c r="I11" s="29">
        <f>[2]CoGS!H183/1000</f>
        <v>34549.389205650739</v>
      </c>
      <c r="J11" s="29">
        <f>[2]CoGS!I183/1000</f>
        <v>37026.513879355254</v>
      </c>
      <c r="K11" s="29">
        <f>[2]CoGS!J183/1000</f>
        <v>39354.571823529339</v>
      </c>
      <c r="L11" s="29">
        <f>[2]CoGS!K183/1000</f>
        <v>40579.416673162494</v>
      </c>
      <c r="M11" s="29">
        <f>[2]CoGS!L183/1000</f>
        <v>41654.46936503271</v>
      </c>
      <c r="N11" s="29">
        <f>[2]CoGS!M183/1000</f>
        <v>42363.651233156008</v>
      </c>
      <c r="O11" s="29">
        <f>[2]CoGS!N183/1000</f>
        <v>43088.082500343146</v>
      </c>
      <c r="P11" s="30">
        <f>[2]CoGS!O183/1000</f>
        <v>44263.53260771904</v>
      </c>
      <c r="Q11" s="31"/>
      <c r="R11" s="4"/>
    </row>
    <row r="12" spans="1:18" ht="24.95" customHeight="1" x14ac:dyDescent="0.3">
      <c r="A12" s="1"/>
      <c r="B12" s="32">
        <v>1</v>
      </c>
      <c r="C12" s="1" t="s">
        <v>9</v>
      </c>
      <c r="D12" s="33"/>
      <c r="E12" s="33">
        <f>[2]CoGS!E54/1000-[2]CoGS!E50/1000</f>
        <v>3548.8799999999992</v>
      </c>
      <c r="F12" s="33">
        <f>[2]CoGS!F54/1000-[2]CoGS!F50/1000</f>
        <v>3667.1760000000013</v>
      </c>
      <c r="G12" s="33">
        <f>[2]CoGS!G54/1000-[2]CoGS!G50/1000</f>
        <v>3667.1760000000013</v>
      </c>
      <c r="H12" s="33">
        <f>[2]CoGS!H54/1000-[2]CoGS!H50/1000</f>
        <v>3312.2879999999986</v>
      </c>
      <c r="I12" s="33">
        <f>[2]CoGS!I54/1000-[2]CoGS!I50/1000</f>
        <v>3667.1760000000013</v>
      </c>
      <c r="J12" s="33">
        <f>[2]CoGS!J54/1000-[2]CoGS!J50/1000</f>
        <v>2818.2749999999996</v>
      </c>
      <c r="K12" s="33">
        <f>[2]CoGS!K54/1000-[2]CoGS!K50/1000</f>
        <v>2912.2175000000007</v>
      </c>
      <c r="L12" s="33">
        <f>[2]CoGS!L54/1000-[2]CoGS!L50/1000</f>
        <v>2818.2749999999996</v>
      </c>
      <c r="M12" s="33">
        <f>[2]CoGS!M54/1000-[2]CoGS!M50/1000</f>
        <v>2912.2175000000007</v>
      </c>
      <c r="N12" s="33">
        <f>[2]CoGS!N54/1000-[2]CoGS!N50/1000</f>
        <v>2912.2175000000007</v>
      </c>
      <c r="O12" s="33">
        <f>[2]CoGS!O54/1000-[2]CoGS!O50/1000</f>
        <v>2818.2749999999996</v>
      </c>
      <c r="P12" s="34">
        <f>[2]CoGS!P54/1000-[2]CoGS!P50/1000</f>
        <v>2912.2175000000007</v>
      </c>
      <c r="Q12" s="35">
        <f t="shared" ref="Q12:Q23" si="0">SUM(D12:P12)</f>
        <v>37966.391000000003</v>
      </c>
      <c r="R12" s="4"/>
    </row>
    <row r="13" spans="1:18" ht="24.95" customHeight="1" x14ac:dyDescent="0.3">
      <c r="A13" s="1"/>
      <c r="B13" s="32">
        <v>2</v>
      </c>
      <c r="C13" s="1" t="s">
        <v>10</v>
      </c>
      <c r="D13" s="33"/>
      <c r="E13" s="33">
        <f>[2]CoGS!E50/1000</f>
        <v>10861.542750000001</v>
      </c>
      <c r="F13" s="33">
        <f>[2]CoGS!F50/1000</f>
        <v>11223.594175</v>
      </c>
      <c r="G13" s="33">
        <f>[2]CoGS!G50/1000</f>
        <v>11223.594175</v>
      </c>
      <c r="H13" s="33">
        <f>[2]CoGS!H50/1000</f>
        <v>10137.439900000001</v>
      </c>
      <c r="I13" s="33">
        <f>[2]CoGS!I50/1000</f>
        <v>11223.594175</v>
      </c>
      <c r="J13" s="33">
        <f>[2]CoGS!J50/1000</f>
        <v>8895.1424999999999</v>
      </c>
      <c r="K13" s="33">
        <f>[2]CoGS!K50/1000</f>
        <v>9191.64725</v>
      </c>
      <c r="L13" s="33">
        <f>[2]CoGS!L50/1000</f>
        <v>8895.1424999999999</v>
      </c>
      <c r="M13" s="33">
        <f>[2]CoGS!M50/1000</f>
        <v>9191.64725</v>
      </c>
      <c r="N13" s="33">
        <f>[2]CoGS!N50/1000</f>
        <v>9191.64725</v>
      </c>
      <c r="O13" s="33">
        <f>[2]CoGS!O50/1000</f>
        <v>8895.1424999999999</v>
      </c>
      <c r="P13" s="36">
        <f>[2]CoGS!P50/1000</f>
        <v>9190.1919499999985</v>
      </c>
      <c r="Q13" s="36">
        <f t="shared" si="0"/>
        <v>118120.32637499999</v>
      </c>
      <c r="R13" s="4"/>
    </row>
    <row r="14" spans="1:18" ht="24.95" customHeight="1" x14ac:dyDescent="0.3">
      <c r="A14" s="1"/>
      <c r="B14" s="32">
        <v>3</v>
      </c>
      <c r="C14" s="1" t="s">
        <v>11</v>
      </c>
      <c r="D14" s="37"/>
      <c r="E14" s="37">
        <f>-[2]CoGS!E108/1000</f>
        <v>-3729.1200000000003</v>
      </c>
      <c r="F14" s="37">
        <f>-[2]CoGS!F108/1000</f>
        <v>-3853.4240000000004</v>
      </c>
      <c r="G14" s="37">
        <f>-[2]CoGS!G108/1000</f>
        <v>-3853.4240000000004</v>
      </c>
      <c r="H14" s="37">
        <f>-[2]CoGS!H108/1000</f>
        <v>-3480.5120000000002</v>
      </c>
      <c r="I14" s="37">
        <f>-[2]CoGS!I108/1000</f>
        <v>-3853.4240000000004</v>
      </c>
      <c r="J14" s="37">
        <f>-[2]CoGS!J108/1000</f>
        <v>0</v>
      </c>
      <c r="K14" s="37">
        <f>-[2]CoGS!K108/1000</f>
        <v>0</v>
      </c>
      <c r="L14" s="37">
        <f>-[2]CoGS!L108/1000</f>
        <v>0</v>
      </c>
      <c r="M14" s="37">
        <f>-[2]CoGS!M108/1000</f>
        <v>0</v>
      </c>
      <c r="N14" s="37">
        <f>-[2]CoGS!N108/1000</f>
        <v>0</v>
      </c>
      <c r="O14" s="37">
        <f>-[2]CoGS!O108/1000</f>
        <v>0</v>
      </c>
      <c r="P14" s="36">
        <f>-[2]CoGS!P108/1000</f>
        <v>0</v>
      </c>
      <c r="Q14" s="36">
        <f t="shared" si="0"/>
        <v>-18769.904000000002</v>
      </c>
      <c r="R14" s="4"/>
    </row>
    <row r="15" spans="1:18" ht="24.95" customHeight="1" x14ac:dyDescent="0.3">
      <c r="A15" s="1"/>
      <c r="B15" s="20">
        <v>4</v>
      </c>
      <c r="C15" s="28" t="s">
        <v>12</v>
      </c>
      <c r="D15" s="22"/>
      <c r="E15" s="22">
        <f>[2]CoGS!E143/1000</f>
        <v>2353.1999999999998</v>
      </c>
      <c r="F15" s="22">
        <f>[2]CoGS!F143/1000</f>
        <v>2431.64</v>
      </c>
      <c r="G15" s="22">
        <f>[2]CoGS!G143/1000</f>
        <v>2431.64</v>
      </c>
      <c r="H15" s="22">
        <f>[2]CoGS!H143/1000</f>
        <v>2196.3200000000002</v>
      </c>
      <c r="I15" s="22">
        <f>[2]CoGS!I143/1000</f>
        <v>2431.64</v>
      </c>
      <c r="J15" s="22">
        <f>[2]CoGS!J143/1000</f>
        <v>2353.1999999999998</v>
      </c>
      <c r="K15" s="22">
        <f>[2]CoGS!K143/1000</f>
        <v>2431.64</v>
      </c>
      <c r="L15" s="22">
        <f>[2]CoGS!L143/1000</f>
        <v>2353.1999999999998</v>
      </c>
      <c r="M15" s="22">
        <f>[2]CoGS!M143/1000</f>
        <v>2431.64</v>
      </c>
      <c r="N15" s="22">
        <f>[2]CoGS!N143/1000</f>
        <v>2431.64</v>
      </c>
      <c r="O15" s="22">
        <f>[2]CoGS!O143/1000</f>
        <v>2353.1999999999998</v>
      </c>
      <c r="P15" s="38">
        <f>[2]CoGS!P143/1000</f>
        <v>2431.64</v>
      </c>
      <c r="Q15" s="38">
        <f t="shared" si="0"/>
        <v>28630.6</v>
      </c>
      <c r="R15" s="4"/>
    </row>
    <row r="16" spans="1:18" ht="24.95" customHeight="1" x14ac:dyDescent="0.3">
      <c r="A16" s="1"/>
      <c r="B16" s="32">
        <v>5</v>
      </c>
      <c r="C16" s="39" t="s">
        <v>13</v>
      </c>
      <c r="D16" s="37"/>
      <c r="E16" s="40">
        <f t="shared" ref="E16:P16" si="1">SUM(E12:E15)</f>
        <v>13034.50275</v>
      </c>
      <c r="F16" s="40">
        <f t="shared" si="1"/>
        <v>13468.986175</v>
      </c>
      <c r="G16" s="40">
        <f t="shared" si="1"/>
        <v>13468.986175</v>
      </c>
      <c r="H16" s="40">
        <f t="shared" si="1"/>
        <v>12165.535899999999</v>
      </c>
      <c r="I16" s="40">
        <f t="shared" si="1"/>
        <v>13468.986175</v>
      </c>
      <c r="J16" s="40">
        <f t="shared" si="1"/>
        <v>14066.6175</v>
      </c>
      <c r="K16" s="40">
        <f t="shared" si="1"/>
        <v>14535.50475</v>
      </c>
      <c r="L16" s="40">
        <f t="shared" si="1"/>
        <v>14066.6175</v>
      </c>
      <c r="M16" s="40">
        <f t="shared" si="1"/>
        <v>14535.50475</v>
      </c>
      <c r="N16" s="40">
        <f t="shared" si="1"/>
        <v>14535.50475</v>
      </c>
      <c r="O16" s="40">
        <f t="shared" si="1"/>
        <v>14066.6175</v>
      </c>
      <c r="P16" s="41">
        <f t="shared" si="1"/>
        <v>14534.049449999999</v>
      </c>
      <c r="Q16" s="41">
        <f t="shared" si="0"/>
        <v>165947.41337499995</v>
      </c>
      <c r="R16" s="4"/>
    </row>
    <row r="17" spans="1:18" ht="24.95" customHeight="1" x14ac:dyDescent="0.3">
      <c r="A17" s="1"/>
      <c r="B17" s="32">
        <v>6</v>
      </c>
      <c r="C17" s="1" t="s">
        <v>14</v>
      </c>
      <c r="D17" s="37"/>
      <c r="E17" s="37">
        <f>[2]CoGS!E148/1000</f>
        <v>6291.9659617038151</v>
      </c>
      <c r="F17" s="37">
        <f>[2]CoGS!F148/1000</f>
        <v>14095.586617829887</v>
      </c>
      <c r="G17" s="37">
        <f>[2]CoGS!G148/1000</f>
        <v>16325.592817782042</v>
      </c>
      <c r="H17" s="37">
        <f>[2]CoGS!H148/1000</f>
        <v>12333.057015350454</v>
      </c>
      <c r="I17" s="37">
        <f>[2]CoGS!I148/1000</f>
        <v>6032.0266498801984</v>
      </c>
      <c r="J17" s="37">
        <f>[2]CoGS!J148/1000</f>
        <v>-2371.1817696626526</v>
      </c>
      <c r="K17" s="37">
        <f>[2]CoGS!K148/1000</f>
        <v>-8417.8746329136866</v>
      </c>
      <c r="L17" s="37">
        <f>[2]CoGS!L148/1000</f>
        <v>-8874.7907505135936</v>
      </c>
      <c r="M17" s="37">
        <f>[2]CoGS!M148/1000</f>
        <v>-11311.202289411616</v>
      </c>
      <c r="N17" s="37">
        <f>[2]CoGS!N148/1000</f>
        <v>-11335.189431934014</v>
      </c>
      <c r="O17" s="37">
        <f>[2]CoGS!O148/1000</f>
        <v>-8587.8970890660312</v>
      </c>
      <c r="P17" s="36">
        <f>[2]CoGS!P148/1000</f>
        <v>-2218.2577796822698</v>
      </c>
      <c r="Q17" s="36">
        <f t="shared" si="0"/>
        <v>1961.8353193625371</v>
      </c>
      <c r="R17" s="4"/>
    </row>
    <row r="18" spans="1:18" ht="24.95" customHeight="1" x14ac:dyDescent="0.3">
      <c r="A18" s="1"/>
      <c r="B18" s="32">
        <v>7</v>
      </c>
      <c r="C18" s="1" t="s">
        <v>15</v>
      </c>
      <c r="D18" s="37"/>
      <c r="E18" s="37">
        <f>[2]CoGS!E152/1000</f>
        <v>4.3637684717917065</v>
      </c>
      <c r="F18" s="37">
        <f>[2]CoGS!F152/1000</f>
        <v>4.3637684717917065</v>
      </c>
      <c r="G18" s="37">
        <f>[2]CoGS!G152/1000</f>
        <v>4.3637684717917065</v>
      </c>
      <c r="H18" s="37">
        <f>[2]CoGS!H152/1000</f>
        <v>4.3637684717917065</v>
      </c>
      <c r="I18" s="37">
        <f>[2]CoGS!I152/1000</f>
        <v>4.3637684717917065</v>
      </c>
      <c r="J18" s="37">
        <f>[2]CoGS!J152/1000</f>
        <v>4.3637684717917065</v>
      </c>
      <c r="K18" s="37">
        <f>[2]CoGS!K152/1000</f>
        <v>4.3637684717917065</v>
      </c>
      <c r="L18" s="37">
        <f>[2]CoGS!L152/1000</f>
        <v>4.3637684717917065</v>
      </c>
      <c r="M18" s="37">
        <f>[2]CoGS!M152/1000</f>
        <v>4.3637684717917065</v>
      </c>
      <c r="N18" s="37">
        <f>[2]CoGS!N152/1000</f>
        <v>4.3637684717917065</v>
      </c>
      <c r="O18" s="37">
        <f>[2]CoGS!O152/1000</f>
        <v>4.3637684717917065</v>
      </c>
      <c r="P18" s="36">
        <f>[2]CoGS!P152/1000</f>
        <v>4.3637684717917065</v>
      </c>
      <c r="Q18" s="36">
        <f t="shared" si="0"/>
        <v>52.365221661500492</v>
      </c>
      <c r="R18" s="4"/>
    </row>
    <row r="19" spans="1:18" ht="24.95" customHeight="1" x14ac:dyDescent="0.3">
      <c r="A19" s="1"/>
      <c r="B19" s="32">
        <v>8</v>
      </c>
      <c r="C19" s="1" t="s">
        <v>16</v>
      </c>
      <c r="D19" s="37"/>
      <c r="E19" s="37">
        <f>'[2]Operating Expenses'!E12/1000</f>
        <v>115.41666666666667</v>
      </c>
      <c r="F19" s="37">
        <f>'[2]Operating Expenses'!F12/1000</f>
        <v>115.41666666666667</v>
      </c>
      <c r="G19" s="37">
        <f>'[2]Operating Expenses'!G12/1000</f>
        <v>115.41666666666667</v>
      </c>
      <c r="H19" s="37">
        <f>'[2]Operating Expenses'!H12/1000</f>
        <v>115.41666666666667</v>
      </c>
      <c r="I19" s="37">
        <f>'[2]Operating Expenses'!I12/1000</f>
        <v>115.41666666666667</v>
      </c>
      <c r="J19" s="37">
        <f>'[2]Operating Expenses'!J12/1000</f>
        <v>115.41666666666667</v>
      </c>
      <c r="K19" s="37">
        <f>'[2]Operating Expenses'!K12/1000</f>
        <v>115.41666666666667</v>
      </c>
      <c r="L19" s="37">
        <f>'[2]Operating Expenses'!L12/1000</f>
        <v>115.41666666666667</v>
      </c>
      <c r="M19" s="37">
        <f>'[2]Operating Expenses'!M12/1000</f>
        <v>115.41666666666667</v>
      </c>
      <c r="N19" s="37">
        <f>'[2]Operating Expenses'!N12/1000</f>
        <v>115.41666666666667</v>
      </c>
      <c r="O19" s="37">
        <f>'[2]Operating Expenses'!O12/1000</f>
        <v>115.41666666666667</v>
      </c>
      <c r="P19" s="37">
        <f>'[2]Operating Expenses'!P12/1000</f>
        <v>115.41666666666667</v>
      </c>
      <c r="Q19" s="42">
        <f t="shared" si="0"/>
        <v>1385.0000000000002</v>
      </c>
      <c r="R19" s="4"/>
    </row>
    <row r="20" spans="1:18" ht="24.95" customHeight="1" x14ac:dyDescent="0.3">
      <c r="A20" s="1"/>
      <c r="B20" s="32">
        <v>9</v>
      </c>
      <c r="C20" s="1" t="s">
        <v>17</v>
      </c>
      <c r="D20" s="37"/>
      <c r="E20" s="37">
        <f>'[2]Operating Expenses'!E13/1000</f>
        <v>94.043019860999991</v>
      </c>
      <c r="F20" s="37">
        <f>'[2]Operating Expenses'!F13/1000</f>
        <v>129.87080804249999</v>
      </c>
      <c r="G20" s="37">
        <f>'[2]Operating Expenses'!G13/1000</f>
        <v>139.2166474965</v>
      </c>
      <c r="H20" s="37">
        <f>'[2]Operating Expenses'!H13/1000</f>
        <v>115.18724548799999</v>
      </c>
      <c r="I20" s="37">
        <f>'[2]Operating Expenses'!I13/1000</f>
        <v>94.292902714499988</v>
      </c>
      <c r="J20" s="37">
        <f>'[2]Operating Expenses'!J13/1000</f>
        <v>51.400255913999992</v>
      </c>
      <c r="K20" s="37">
        <f>'[2]Operating Expenses'!K13/1000</f>
        <v>26.391794404499997</v>
      </c>
      <c r="L20" s="37">
        <f>'[2]Operating Expenses'!L13/1000</f>
        <v>22.659305886000002</v>
      </c>
      <c r="M20" s="37">
        <f>'[2]Operating Expenses'!M13/1000</f>
        <v>14.0861116305</v>
      </c>
      <c r="N20" s="37">
        <f>'[2]Operating Expenses'!N13/1000</f>
        <v>14.208048634499999</v>
      </c>
      <c r="O20" s="37">
        <f>'[2]Operating Expenses'!O13/1000</f>
        <v>24.203297852999995</v>
      </c>
      <c r="P20" s="37">
        <f>'[2]Operating Expenses'!P13/1000</f>
        <v>54.939999712500004</v>
      </c>
      <c r="Q20" s="42">
        <f t="shared" si="0"/>
        <v>780.49943763749991</v>
      </c>
      <c r="R20" s="4"/>
    </row>
    <row r="21" spans="1:18" ht="24.95" customHeight="1" x14ac:dyDescent="0.3">
      <c r="A21" s="1"/>
      <c r="B21" s="32">
        <v>10</v>
      </c>
      <c r="C21" s="1" t="s">
        <v>18</v>
      </c>
      <c r="D21" s="37"/>
      <c r="E21" s="37">
        <f>[2]CoGS!E154/1000</f>
        <v>-44.464439469200634</v>
      </c>
      <c r="F21" s="37">
        <f>[2]CoGS!F154/1000</f>
        <v>-57.048714790672513</v>
      </c>
      <c r="G21" s="37">
        <f>[2]CoGS!G154/1000</f>
        <v>-83.895168809812517</v>
      </c>
      <c r="H21" s="37">
        <f>[2]CoGS!H154/1000</f>
        <v>-109.06371945275627</v>
      </c>
      <c r="I21" s="37">
        <f>[2]CoGS!I154/1000</f>
        <v>-109.90267114085441</v>
      </c>
      <c r="J21" s="37">
        <f>[2]CoGS!J154/1000</f>
        <v>-99.835250883676878</v>
      </c>
      <c r="K21" s="37">
        <f>[2]CoGS!K154/1000</f>
        <v>-84.734120497910638</v>
      </c>
      <c r="L21" s="37">
        <f>[2]CoGS!L154/1000</f>
        <v>-67.955086735948129</v>
      </c>
      <c r="M21" s="37">
        <f>[2]CoGS!M154/1000</f>
        <v>-54.531859726378137</v>
      </c>
      <c r="N21" s="37">
        <f>[2]CoGS!N154/1000</f>
        <v>-46.142342845396882</v>
      </c>
      <c r="O21" s="37">
        <f>[2]CoGS!O154/1000</f>
        <v>-41.108632716808131</v>
      </c>
      <c r="P21" s="36">
        <f>[2]CoGS!P154/1000</f>
        <v>-40.269681028710011</v>
      </c>
      <c r="Q21" s="36">
        <f t="shared" si="0"/>
        <v>-838.95168809812526</v>
      </c>
      <c r="R21" s="4"/>
    </row>
    <row r="22" spans="1:18" ht="24.95" customHeight="1" x14ac:dyDescent="0.3">
      <c r="A22" s="1"/>
      <c r="B22" s="20">
        <v>11</v>
      </c>
      <c r="C22" s="28" t="s">
        <v>19</v>
      </c>
      <c r="D22" s="22"/>
      <c r="E22" s="22">
        <f>[2]CoGS!E158/1000</f>
        <v>-194.40317092722898</v>
      </c>
      <c r="F22" s="22">
        <f>[2]CoGS!F158/1000</f>
        <v>-263.65233756741333</v>
      </c>
      <c r="G22" s="22">
        <f>[2]CoGS!G158/1000</f>
        <v>-336.11687966149947</v>
      </c>
      <c r="H22" s="22">
        <f>[2]CoGS!H158/1000</f>
        <v>-319.04461874605664</v>
      </c>
      <c r="I22" s="22">
        <f>[2]CoGS!I158/1000</f>
        <v>-372.8908855601403</v>
      </c>
      <c r="J22" s="22">
        <f>[2]CoGS!J158/1000</f>
        <v>-276.51975515260676</v>
      </c>
      <c r="K22" s="22">
        <f>[2]CoGS!K158/1000</f>
        <v>-256.31196581999251</v>
      </c>
      <c r="L22" s="22">
        <f>[2]CoGS!L158/1000</f>
        <v>-159.49921592623625</v>
      </c>
      <c r="M22" s="22">
        <f>[2]CoGS!M158/1000</f>
        <v>-96.929852325686468</v>
      </c>
      <c r="N22" s="22">
        <f>[2]CoGS!N158/1000</f>
        <v>-44.65607679876706</v>
      </c>
      <c r="O22" s="22">
        <f>[2]CoGS!O158/1000</f>
        <v>-102.92799734506637</v>
      </c>
      <c r="P22" s="38">
        <f>[2]CoGS!P158/1000</f>
        <v>-109.86510981139</v>
      </c>
      <c r="Q22" s="38">
        <f t="shared" si="0"/>
        <v>-2532.8178656420841</v>
      </c>
      <c r="R22" s="4"/>
    </row>
    <row r="23" spans="1:18" ht="24.95" customHeight="1" x14ac:dyDescent="0.3">
      <c r="A23" s="1"/>
      <c r="B23" s="32">
        <v>12</v>
      </c>
      <c r="C23" s="39" t="s">
        <v>20</v>
      </c>
      <c r="D23" s="43"/>
      <c r="E23" s="43">
        <f>SUM(E16:E22)</f>
        <v>19301.424556306847</v>
      </c>
      <c r="F23" s="43">
        <f t="shared" ref="F23:P23" si="2">SUM(F16:F22)</f>
        <v>27493.522983652758</v>
      </c>
      <c r="G23" s="43">
        <f t="shared" si="2"/>
        <v>29633.564026945693</v>
      </c>
      <c r="H23" s="43">
        <f t="shared" si="2"/>
        <v>24305.452257778099</v>
      </c>
      <c r="I23" s="43">
        <f t="shared" si="2"/>
        <v>19232.292606032162</v>
      </c>
      <c r="J23" s="43">
        <f t="shared" si="2"/>
        <v>11490.261415353523</v>
      </c>
      <c r="K23" s="43">
        <f t="shared" si="2"/>
        <v>5922.7562603113693</v>
      </c>
      <c r="L23" s="43">
        <f t="shared" si="2"/>
        <v>5106.81218784868</v>
      </c>
      <c r="M23" s="43">
        <f t="shared" si="2"/>
        <v>3206.7072953052775</v>
      </c>
      <c r="N23" s="43">
        <f t="shared" si="2"/>
        <v>3243.5053821947809</v>
      </c>
      <c r="O23" s="43">
        <f t="shared" si="2"/>
        <v>5478.6675138635528</v>
      </c>
      <c r="P23" s="44">
        <f t="shared" si="2"/>
        <v>12340.377314328587</v>
      </c>
      <c r="Q23" s="44">
        <f t="shared" si="0"/>
        <v>166755.34379992136</v>
      </c>
      <c r="R23" s="4"/>
    </row>
    <row r="24" spans="1:18" ht="24.95" hidden="1" customHeight="1" x14ac:dyDescent="0.3">
      <c r="A24" s="1"/>
      <c r="B24" s="20">
        <v>13</v>
      </c>
      <c r="C24" s="28" t="s">
        <v>21</v>
      </c>
      <c r="D24" s="28"/>
      <c r="E24" s="29">
        <f>[2]CoGS!E174/1000</f>
        <v>16785.248225000003</v>
      </c>
      <c r="F24" s="29">
        <f>[2]CoGS!F174/1000</f>
        <v>23179.9633125</v>
      </c>
      <c r="G24" s="29">
        <f>[2]CoGS!G174/1000</f>
        <v>24848.053462500004</v>
      </c>
      <c r="H24" s="29">
        <f>[2]CoGS!H174/1000</f>
        <v>20559.1708</v>
      </c>
      <c r="I24" s="29">
        <f>[2]CoGS!I174/1000</f>
        <v>16829.848512500004</v>
      </c>
      <c r="J24" s="29">
        <f>[2]CoGS!J174/1000</f>
        <v>9174.1636500000004</v>
      </c>
      <c r="K24" s="29">
        <f>[2]CoGS!K174/1000</f>
        <v>4710.5337625000002</v>
      </c>
      <c r="L24" s="29">
        <f>[2]CoGS!L174/1000</f>
        <v>4044.3413500000001</v>
      </c>
      <c r="M24" s="29">
        <f>[2]CoGS!M174/1000</f>
        <v>2514.1566125000004</v>
      </c>
      <c r="N24" s="29">
        <f>[2]CoGS!N174/1000</f>
        <v>2535.9205125000003</v>
      </c>
      <c r="O24" s="29">
        <f>[2]CoGS!O174/1000</f>
        <v>4319.9204250000012</v>
      </c>
      <c r="P24" s="31">
        <f>[2]CoGS!P174/1000</f>
        <v>9805.9540625000009</v>
      </c>
      <c r="Q24" s="38">
        <f>SUM(E24:P24)</f>
        <v>139307.2746875</v>
      </c>
      <c r="R24" s="4"/>
    </row>
    <row r="25" spans="1:18" ht="24.95" hidden="1" customHeight="1" x14ac:dyDescent="0.3">
      <c r="A25" s="1"/>
      <c r="B25" s="32">
        <v>14</v>
      </c>
      <c r="C25" s="1" t="s">
        <v>22</v>
      </c>
      <c r="D25" s="1"/>
      <c r="E25" s="37">
        <f t="shared" ref="E25:P25" si="3">E23-E24</f>
        <v>2516.1763313068441</v>
      </c>
      <c r="F25" s="37">
        <f t="shared" si="3"/>
        <v>4313.5596711527578</v>
      </c>
      <c r="G25" s="37">
        <f t="shared" si="3"/>
        <v>4785.5105644456889</v>
      </c>
      <c r="H25" s="37">
        <f t="shared" si="3"/>
        <v>3746.2814577780991</v>
      </c>
      <c r="I25" s="37">
        <f t="shared" si="3"/>
        <v>2402.4440935321581</v>
      </c>
      <c r="J25" s="37">
        <f t="shared" si="3"/>
        <v>2316.0977653535228</v>
      </c>
      <c r="K25" s="37">
        <f t="shared" si="3"/>
        <v>1212.2224978113691</v>
      </c>
      <c r="L25" s="37">
        <f t="shared" si="3"/>
        <v>1062.4708378486798</v>
      </c>
      <c r="M25" s="37">
        <f t="shared" si="3"/>
        <v>692.55068280527712</v>
      </c>
      <c r="N25" s="37">
        <f t="shared" si="3"/>
        <v>707.58486969478054</v>
      </c>
      <c r="O25" s="37">
        <f t="shared" si="3"/>
        <v>1158.7470888635517</v>
      </c>
      <c r="P25" s="36">
        <f t="shared" si="3"/>
        <v>2534.4232518285862</v>
      </c>
      <c r="Q25" s="38">
        <f>SUM(E25:P25)</f>
        <v>27448.069112421315</v>
      </c>
      <c r="R25" s="4"/>
    </row>
    <row r="26" spans="1:18" ht="24.95" hidden="1" customHeight="1" x14ac:dyDescent="0.3">
      <c r="A26" s="1"/>
      <c r="B26" s="32">
        <v>15</v>
      </c>
      <c r="C26" s="1" t="s">
        <v>23</v>
      </c>
      <c r="D26" s="1"/>
      <c r="E26" s="29">
        <f>[2]CoGS!E178/1000</f>
        <v>2.6549473041358227</v>
      </c>
      <c r="F26" s="29">
        <f>[2]CoGS!F178/1000</f>
        <v>3.2165525402570072</v>
      </c>
      <c r="G26" s="29">
        <f>[2]CoGS!G178/1000</f>
        <v>5.5257355374197497</v>
      </c>
      <c r="H26" s="29">
        <f>[2]CoGS!H178/1000</f>
        <v>5.7550533034902616</v>
      </c>
      <c r="I26" s="29">
        <f>[2]CoGS!I178/1000</f>
        <v>6.9848397372102617</v>
      </c>
      <c r="J26" s="29">
        <f>[2]CoGS!J178/1000</f>
        <v>8.1530121538995015</v>
      </c>
      <c r="K26" s="29">
        <f>[2]CoGS!K178/1000</f>
        <v>8.8151851551177351</v>
      </c>
      <c r="L26" s="29">
        <f>[2]CoGS!L178/1000</f>
        <v>8.7746873548698368</v>
      </c>
      <c r="M26" s="29">
        <f>[2]CoGS!M178/1000</f>
        <v>12.824018651357999</v>
      </c>
      <c r="N26" s="29">
        <f>[2]CoGS!N178/1000</f>
        <v>13.039230825685406</v>
      </c>
      <c r="O26" s="29">
        <f>[2]CoGS!O178/1000</f>
        <v>12.895851845681118</v>
      </c>
      <c r="P26" s="31">
        <f>[2]CoGS!P178/1000</f>
        <v>20.451341680478496</v>
      </c>
      <c r="Q26" s="38">
        <f>SUM(E26:P26)</f>
        <v>109.09045608960321</v>
      </c>
      <c r="R26" s="4"/>
    </row>
    <row r="27" spans="1:18" ht="24.95" hidden="1" customHeight="1" thickBot="1" x14ac:dyDescent="0.35">
      <c r="A27" s="1"/>
      <c r="B27" s="45">
        <v>16</v>
      </c>
      <c r="C27" s="46" t="s">
        <v>24</v>
      </c>
      <c r="D27" s="47"/>
      <c r="E27" s="48">
        <f t="shared" ref="E27:P27" si="4">E11+E25+E26</f>
        <v>21427.000831990332</v>
      </c>
      <c r="F27" s="48">
        <f t="shared" si="4"/>
        <v>25809.41193848402</v>
      </c>
      <c r="G27" s="48">
        <f t="shared" si="4"/>
        <v>30668.14397890227</v>
      </c>
      <c r="H27" s="48">
        <f t="shared" si="4"/>
        <v>34487.876230418995</v>
      </c>
      <c r="I27" s="48">
        <f t="shared" si="4"/>
        <v>36958.818138920105</v>
      </c>
      <c r="J27" s="48">
        <f t="shared" si="4"/>
        <v>39350.764656862673</v>
      </c>
      <c r="K27" s="48">
        <f t="shared" si="4"/>
        <v>40575.609506495821</v>
      </c>
      <c r="L27" s="48">
        <f t="shared" si="4"/>
        <v>41650.662198366044</v>
      </c>
      <c r="M27" s="48">
        <f t="shared" si="4"/>
        <v>42359.844066489342</v>
      </c>
      <c r="N27" s="48">
        <f t="shared" si="4"/>
        <v>43084.275333676473</v>
      </c>
      <c r="O27" s="48">
        <f t="shared" si="4"/>
        <v>44259.725441052375</v>
      </c>
      <c r="P27" s="49">
        <f t="shared" si="4"/>
        <v>46818.407201228103</v>
      </c>
      <c r="Q27" s="38">
        <f>P27</f>
        <v>46818.407201228103</v>
      </c>
      <c r="R27" s="4"/>
    </row>
    <row r="28" spans="1:18" ht="24.95" hidden="1" customHeight="1" thickTop="1" x14ac:dyDescent="0.3">
      <c r="A28" s="6"/>
      <c r="B28" s="32"/>
      <c r="C28" s="1"/>
      <c r="D28" s="1"/>
      <c r="E28" s="33"/>
      <c r="F28" s="33"/>
      <c r="G28" s="33"/>
      <c r="H28" s="33"/>
      <c r="I28" s="1"/>
      <c r="J28" s="1"/>
      <c r="K28" s="1"/>
      <c r="L28" s="1"/>
      <c r="M28" s="1"/>
      <c r="N28" s="1"/>
      <c r="O28" s="1"/>
      <c r="P28" s="1"/>
      <c r="Q28" s="50"/>
      <c r="R28" s="4"/>
    </row>
    <row r="29" spans="1:18" ht="15.75" thickBot="1" x14ac:dyDescent="0.35">
      <c r="A29" s="6"/>
      <c r="B29" s="51"/>
      <c r="C29" s="52"/>
      <c r="D29" s="52"/>
      <c r="E29" s="53"/>
      <c r="F29" s="53"/>
      <c r="G29" s="53"/>
      <c r="H29" s="53"/>
      <c r="I29" s="52"/>
      <c r="J29" s="52"/>
      <c r="K29" s="52"/>
      <c r="L29" s="52"/>
      <c r="M29" s="52"/>
      <c r="N29" s="52"/>
      <c r="O29" s="52"/>
      <c r="P29" s="52"/>
      <c r="Q29" s="54"/>
      <c r="R29" s="4"/>
    </row>
    <row r="30" spans="1:18" x14ac:dyDescent="0.3">
      <c r="A30" s="1"/>
      <c r="B30" s="55"/>
      <c r="C30" s="56"/>
      <c r="D30" s="56"/>
      <c r="E30" s="57"/>
      <c r="F30" s="57"/>
      <c r="G30" s="57"/>
      <c r="H30" s="57"/>
      <c r="I30" s="56"/>
      <c r="J30" s="56"/>
      <c r="K30" s="56"/>
      <c r="L30" s="56"/>
      <c r="M30" s="56"/>
      <c r="N30" s="56"/>
      <c r="O30" s="56"/>
      <c r="P30" s="56"/>
      <c r="Q30" s="56"/>
      <c r="R30" s="4"/>
    </row>
    <row r="31" spans="1:18" ht="15.75" thickBot="1" x14ac:dyDescent="0.35">
      <c r="A31" s="1"/>
      <c r="B31" s="10"/>
      <c r="C31" s="1"/>
      <c r="D31" s="1"/>
      <c r="E31" s="58"/>
      <c r="F31" s="58"/>
      <c r="G31" s="58"/>
      <c r="H31" s="58"/>
      <c r="I31" s="1"/>
      <c r="J31" s="1"/>
      <c r="K31" s="1"/>
      <c r="L31" s="1"/>
      <c r="M31" s="52"/>
      <c r="N31" s="52"/>
      <c r="O31" s="52"/>
      <c r="P31" s="52"/>
      <c r="Q31" s="52"/>
      <c r="R31" s="4"/>
    </row>
    <row r="32" spans="1:18" x14ac:dyDescent="0.3">
      <c r="A32" s="1"/>
      <c r="B32" s="59"/>
      <c r="C32" s="56"/>
      <c r="D32" s="56"/>
      <c r="E32" s="57"/>
      <c r="F32" s="57"/>
      <c r="G32" s="57"/>
      <c r="H32" s="57"/>
      <c r="I32" s="57"/>
      <c r="J32" s="57"/>
      <c r="K32" s="57"/>
      <c r="L32" s="57"/>
      <c r="M32" s="57"/>
      <c r="N32" s="57"/>
      <c r="O32" s="57"/>
      <c r="P32" s="57"/>
      <c r="Q32" s="60"/>
      <c r="R32" s="4"/>
    </row>
    <row r="33" spans="1:20" ht="18" x14ac:dyDescent="0.35">
      <c r="A33" s="1"/>
      <c r="B33" s="187" t="s">
        <v>25</v>
      </c>
      <c r="C33" s="185"/>
      <c r="D33" s="185"/>
      <c r="E33" s="185"/>
      <c r="F33" s="185"/>
      <c r="G33" s="185"/>
      <c r="H33" s="185"/>
      <c r="I33" s="185"/>
      <c r="J33" s="185"/>
      <c r="K33" s="185"/>
      <c r="L33" s="185"/>
      <c r="M33" s="185"/>
      <c r="N33" s="185"/>
      <c r="O33" s="185"/>
      <c r="P33" s="185"/>
      <c r="Q33" s="188"/>
      <c r="R33" s="4"/>
    </row>
    <row r="34" spans="1:20" ht="15.75" thickBot="1" x14ac:dyDescent="0.35">
      <c r="A34" s="1"/>
      <c r="B34" s="61"/>
      <c r="C34" s="52"/>
      <c r="D34" s="52"/>
      <c r="E34" s="62"/>
      <c r="F34" s="62"/>
      <c r="G34" s="62"/>
      <c r="H34" s="62"/>
      <c r="I34" s="62"/>
      <c r="J34" s="62"/>
      <c r="K34" s="62"/>
      <c r="L34" s="62"/>
      <c r="M34" s="62"/>
      <c r="N34" s="62"/>
      <c r="O34" s="62"/>
      <c r="P34" s="62"/>
      <c r="Q34" s="63"/>
      <c r="R34" s="4"/>
    </row>
    <row r="35" spans="1:20" x14ac:dyDescent="0.3">
      <c r="A35" s="1"/>
      <c r="B35" s="12"/>
      <c r="C35" s="13"/>
      <c r="D35" s="64"/>
      <c r="E35" s="14">
        <f t="shared" ref="E35:P35" si="5">E8</f>
        <v>44501</v>
      </c>
      <c r="F35" s="14">
        <f t="shared" si="5"/>
        <v>44531</v>
      </c>
      <c r="G35" s="14">
        <f t="shared" si="5"/>
        <v>44562</v>
      </c>
      <c r="H35" s="14">
        <f t="shared" si="5"/>
        <v>44593</v>
      </c>
      <c r="I35" s="14">
        <f t="shared" si="5"/>
        <v>44621</v>
      </c>
      <c r="J35" s="14">
        <f t="shared" si="5"/>
        <v>44652</v>
      </c>
      <c r="K35" s="14">
        <f t="shared" si="5"/>
        <v>44682</v>
      </c>
      <c r="L35" s="14">
        <f t="shared" si="5"/>
        <v>44713</v>
      </c>
      <c r="M35" s="14">
        <f t="shared" si="5"/>
        <v>44743</v>
      </c>
      <c r="N35" s="14">
        <f t="shared" si="5"/>
        <v>44774</v>
      </c>
      <c r="O35" s="14">
        <f t="shared" si="5"/>
        <v>44805</v>
      </c>
      <c r="P35" s="14">
        <f t="shared" si="5"/>
        <v>44835</v>
      </c>
      <c r="Q35" s="65" t="s">
        <v>4</v>
      </c>
      <c r="R35" s="4"/>
    </row>
    <row r="36" spans="1:20" x14ac:dyDescent="0.3">
      <c r="A36" s="1"/>
      <c r="B36" s="16" t="s">
        <v>5</v>
      </c>
      <c r="C36" s="17" t="s">
        <v>6</v>
      </c>
      <c r="D36" s="17"/>
      <c r="E36" s="18"/>
      <c r="F36" s="18"/>
      <c r="G36" s="18"/>
      <c r="H36" s="17"/>
      <c r="I36" s="17"/>
      <c r="J36" s="17"/>
      <c r="K36" s="17"/>
      <c r="L36" s="17"/>
      <c r="M36" s="17"/>
      <c r="N36" s="17"/>
      <c r="O36" s="17"/>
      <c r="P36" s="17"/>
      <c r="Q36" s="66"/>
      <c r="R36" s="4"/>
    </row>
    <row r="37" spans="1:20" ht="24.95" customHeight="1" x14ac:dyDescent="0.3">
      <c r="A37" s="1"/>
      <c r="B37" s="32">
        <v>13</v>
      </c>
      <c r="C37" s="1" t="s">
        <v>26</v>
      </c>
      <c r="D37" s="67"/>
      <c r="E37" s="67">
        <f>[2]CoGS!E17/1000</f>
        <v>4719.75</v>
      </c>
      <c r="F37" s="67">
        <f>[2]CoGS!F17/1000</f>
        <v>4877.0749999999998</v>
      </c>
      <c r="G37" s="67">
        <f>[2]CoGS!G17/1000</f>
        <v>4877.0749999999998</v>
      </c>
      <c r="H37" s="67">
        <f>[2]CoGS!H17/1000</f>
        <v>4405.1000000000004</v>
      </c>
      <c r="I37" s="67">
        <f>[2]CoGS!I17/1000</f>
        <v>4877.0749999999998</v>
      </c>
      <c r="J37" s="67">
        <f>[2]CoGS!J17/1000</f>
        <v>4418.1000000000004</v>
      </c>
      <c r="K37" s="67">
        <f>[2]CoGS!K17/1000</f>
        <v>4565.37</v>
      </c>
      <c r="L37" s="67">
        <f>[2]CoGS!L17/1000</f>
        <v>4418.1000000000004</v>
      </c>
      <c r="M37" s="67">
        <f>[2]CoGS!M17/1000</f>
        <v>4565.37</v>
      </c>
      <c r="N37" s="67">
        <f>[2]CoGS!N17/1000</f>
        <v>4565.37</v>
      </c>
      <c r="O37" s="67">
        <f>[2]CoGS!O17/1000</f>
        <v>4418.1000000000004</v>
      </c>
      <c r="P37" s="67">
        <f>[2]CoGS!P17/1000</f>
        <v>4564.9290000000001</v>
      </c>
      <c r="Q37" s="68">
        <f>SUM(D37:P37)</f>
        <v>55271.414000000004</v>
      </c>
      <c r="R37" s="4"/>
    </row>
    <row r="38" spans="1:20" ht="24.95" hidden="1" customHeight="1" x14ac:dyDescent="0.3">
      <c r="A38" s="1"/>
      <c r="B38" s="32">
        <v>18</v>
      </c>
      <c r="C38" s="1" t="s">
        <v>27</v>
      </c>
      <c r="D38" s="69"/>
      <c r="E38" s="69">
        <f>'[2]Accting Actuals &amp; GCVA'!E68</f>
        <v>2.5750000000000002</v>
      </c>
      <c r="F38" s="69">
        <f>'[2]Accting Actuals &amp; GCVA'!F68</f>
        <v>2.5750000000000002</v>
      </c>
      <c r="G38" s="69">
        <f>'[2]Accting Actuals &amp; GCVA'!G68</f>
        <v>2.5750000000000002</v>
      </c>
      <c r="H38" s="69">
        <f>'[2]Accting Actuals &amp; GCVA'!H68</f>
        <v>2.5750000000000002</v>
      </c>
      <c r="I38" s="69">
        <f>'[2]Accting Actuals &amp; GCVA'!I68</f>
        <v>2.5750000000000002</v>
      </c>
      <c r="J38" s="69">
        <f>'[2]Accting Actuals &amp; GCVA'!J68</f>
        <v>2.5750000000000002</v>
      </c>
      <c r="K38" s="69">
        <f>'[2]Accting Actuals &amp; GCVA'!K68</f>
        <v>2.5750000000000002</v>
      </c>
      <c r="L38" s="69">
        <f>'[2]Accting Actuals &amp; GCVA'!L68</f>
        <v>2.5750000000000002</v>
      </c>
      <c r="M38" s="69">
        <f>'[2]Accting Actuals &amp; GCVA'!M68</f>
        <v>2.5750000000000002</v>
      </c>
      <c r="N38" s="69">
        <f>'[2]Accting Actuals &amp; GCVA'!N68</f>
        <v>2.5750000000000002</v>
      </c>
      <c r="O38" s="69">
        <f>'[2]Accting Actuals &amp; GCVA'!O68</f>
        <v>2.5750000000000002</v>
      </c>
      <c r="P38" s="69">
        <f>'[2]Accting Actuals &amp; GCVA'!P68</f>
        <v>2.5750000000000002</v>
      </c>
      <c r="Q38" s="70"/>
      <c r="R38" s="4"/>
    </row>
    <row r="39" spans="1:20" ht="24.95" customHeight="1" x14ac:dyDescent="0.3">
      <c r="A39" s="1"/>
      <c r="B39" s="32">
        <v>14</v>
      </c>
      <c r="C39" s="1" t="s">
        <v>28</v>
      </c>
      <c r="D39" s="67"/>
      <c r="E39" s="67">
        <f>([2]CoGS!E17-[2]CoGS!E11)/1000</f>
        <v>4691.0550000000003</v>
      </c>
      <c r="F39" s="67">
        <f>([2]CoGS!F17-[2]CoGS!F11)/1000</f>
        <v>4847.4234999999999</v>
      </c>
      <c r="G39" s="67">
        <f>([2]CoGS!G17-[2]CoGS!G11)/1000</f>
        <v>4847.4234999999999</v>
      </c>
      <c r="H39" s="67">
        <f>([2]CoGS!H17-[2]CoGS!H11)/1000</f>
        <v>4378.3180000000002</v>
      </c>
      <c r="I39" s="67">
        <f>([2]CoGS!I17-[2]CoGS!I11)/1000</f>
        <v>4847.4234999999999</v>
      </c>
      <c r="J39" s="67">
        <f>([2]CoGS!J17-[2]CoGS!J11)/1000</f>
        <v>4388.2049999999999</v>
      </c>
      <c r="K39" s="67">
        <f>([2]CoGS!K17-[2]CoGS!K11)/1000</f>
        <v>4534.4785000000002</v>
      </c>
      <c r="L39" s="67">
        <f>([2]CoGS!L17-[2]CoGS!L11)/1000</f>
        <v>4388.2049999999999</v>
      </c>
      <c r="M39" s="67">
        <f>([2]CoGS!M17-[2]CoGS!M11)/1000</f>
        <v>4534.4785000000002</v>
      </c>
      <c r="N39" s="67">
        <f>([2]CoGS!N17-[2]CoGS!N11)/1000</f>
        <v>4534.4785000000002</v>
      </c>
      <c r="O39" s="67">
        <f>([2]CoGS!O17-[2]CoGS!O11)/1000</f>
        <v>4388.2049999999999</v>
      </c>
      <c r="P39" s="67">
        <f>([2]CoGS!P17-[2]CoGS!P11)/1000</f>
        <v>4534.0375000000004</v>
      </c>
      <c r="Q39" s="68">
        <f>SUM(D39:P39)</f>
        <v>54913.731499999994</v>
      </c>
      <c r="R39" s="4"/>
      <c r="S39" s="71"/>
    </row>
    <row r="40" spans="1:20" ht="24.95" customHeight="1" x14ac:dyDescent="0.3">
      <c r="A40" s="1"/>
      <c r="B40" s="32">
        <v>15</v>
      </c>
      <c r="C40" s="1" t="s">
        <v>29</v>
      </c>
      <c r="D40" s="69"/>
      <c r="E40" s="69">
        <f t="shared" ref="E40:P40" si="6">E16/E39</f>
        <v>2.7785866398923056</v>
      </c>
      <c r="F40" s="69">
        <f t="shared" si="6"/>
        <v>2.7785866398923056</v>
      </c>
      <c r="G40" s="69">
        <f t="shared" si="6"/>
        <v>2.7785866398923056</v>
      </c>
      <c r="H40" s="69">
        <f t="shared" si="6"/>
        <v>2.7785866398923051</v>
      </c>
      <c r="I40" s="69">
        <f t="shared" si="6"/>
        <v>2.7785866398923056</v>
      </c>
      <c r="J40" s="69">
        <f t="shared" si="6"/>
        <v>3.2055515865826689</v>
      </c>
      <c r="K40" s="69">
        <f t="shared" si="6"/>
        <v>3.2055515865826685</v>
      </c>
      <c r="L40" s="69">
        <f t="shared" si="6"/>
        <v>3.2055515865826689</v>
      </c>
      <c r="M40" s="69">
        <f t="shared" si="6"/>
        <v>3.2055515865826685</v>
      </c>
      <c r="N40" s="69">
        <f t="shared" si="6"/>
        <v>3.2055515865826685</v>
      </c>
      <c r="O40" s="69">
        <f t="shared" si="6"/>
        <v>3.2055515865826689</v>
      </c>
      <c r="P40" s="69">
        <f t="shared" si="6"/>
        <v>3.2055424001235098</v>
      </c>
      <c r="Q40" s="70"/>
      <c r="R40" s="4"/>
    </row>
    <row r="41" spans="1:20" ht="24.95" customHeight="1" x14ac:dyDescent="0.3">
      <c r="A41" s="1"/>
      <c r="B41" s="32">
        <v>16</v>
      </c>
      <c r="C41" s="1" t="s">
        <v>14</v>
      </c>
      <c r="D41" s="72"/>
      <c r="E41" s="67">
        <f t="shared" ref="E41:P41" si="7">E17/E42</f>
        <v>1892.9199999999998</v>
      </c>
      <c r="F41" s="67">
        <f t="shared" si="7"/>
        <v>4240.6170000000002</v>
      </c>
      <c r="G41" s="67">
        <f t="shared" si="7"/>
        <v>4911.5079999999998</v>
      </c>
      <c r="H41" s="67">
        <f t="shared" si="7"/>
        <v>3710.3650000000002</v>
      </c>
      <c r="I41" s="67">
        <f t="shared" si="7"/>
        <v>1814.7179999999998</v>
      </c>
      <c r="J41" s="72">
        <f t="shared" si="7"/>
        <v>-739.71100000000001</v>
      </c>
      <c r="K41" s="72">
        <f t="shared" si="7"/>
        <v>-2626.03</v>
      </c>
      <c r="L41" s="72">
        <f t="shared" si="7"/>
        <v>-2768.569</v>
      </c>
      <c r="M41" s="72">
        <f t="shared" si="7"/>
        <v>-3528.6289999999999</v>
      </c>
      <c r="N41" s="72">
        <f t="shared" si="7"/>
        <v>-3536.1119999999996</v>
      </c>
      <c r="O41" s="72">
        <f t="shared" si="7"/>
        <v>-2679.07</v>
      </c>
      <c r="P41" s="73">
        <f t="shared" si="7"/>
        <v>-692.00699999999995</v>
      </c>
      <c r="Q41" s="74">
        <f>SUM(D41:P41)</f>
        <v>1.4779288903810084E-12</v>
      </c>
      <c r="R41" s="4"/>
    </row>
    <row r="42" spans="1:20" ht="24.95" customHeight="1" x14ac:dyDescent="0.3">
      <c r="A42" s="1"/>
      <c r="B42" s="32">
        <v>17</v>
      </c>
      <c r="C42" s="1" t="s">
        <v>30</v>
      </c>
      <c r="D42" s="69"/>
      <c r="E42" s="69">
        <f>[2]Inventory!$B$12</f>
        <v>3.3239471090716015</v>
      </c>
      <c r="F42" s="69">
        <f>[2]Inventory!$B$12</f>
        <v>3.3239471090716015</v>
      </c>
      <c r="G42" s="69">
        <f>[2]Inventory!$B$12</f>
        <v>3.3239471090716015</v>
      </c>
      <c r="H42" s="69">
        <f>[2]Inventory!$B$12</f>
        <v>3.3239471090716015</v>
      </c>
      <c r="I42" s="69">
        <f>[2]Inventory!$B$12</f>
        <v>3.3239471090716015</v>
      </c>
      <c r="J42" s="69">
        <f>([2]Inventory!J19)</f>
        <v>3.2055515865826689</v>
      </c>
      <c r="K42" s="69">
        <f>[2]Inventory!K19</f>
        <v>3.2055515865826689</v>
      </c>
      <c r="L42" s="69">
        <f>[2]Inventory!L19</f>
        <v>3.2055515865826689</v>
      </c>
      <c r="M42" s="69">
        <f>[2]Inventory!M19</f>
        <v>3.2055515865826689</v>
      </c>
      <c r="N42" s="69">
        <f>[2]Inventory!N19</f>
        <v>3.2055515865826689</v>
      </c>
      <c r="O42" s="69">
        <f>[2]Inventory!O19</f>
        <v>3.2055515865826689</v>
      </c>
      <c r="P42" s="69">
        <f>[2]Inventory!P19</f>
        <v>3.2055424001235102</v>
      </c>
      <c r="Q42" s="70"/>
      <c r="R42" s="4"/>
    </row>
    <row r="43" spans="1:20" ht="24.95" customHeight="1" x14ac:dyDescent="0.3">
      <c r="A43" s="1"/>
      <c r="B43" s="32">
        <v>18</v>
      </c>
      <c r="C43" s="1" t="s">
        <v>31</v>
      </c>
      <c r="D43" s="72"/>
      <c r="E43" s="72">
        <f t="shared" ref="E43:P43" si="8">E37-(E39+E41)</f>
        <v>-1864.2250000000004</v>
      </c>
      <c r="F43" s="72">
        <f t="shared" si="8"/>
        <v>-4210.9654999999993</v>
      </c>
      <c r="G43" s="72">
        <f t="shared" si="8"/>
        <v>-4881.856499999999</v>
      </c>
      <c r="H43" s="72">
        <f t="shared" si="8"/>
        <v>-3683.5830000000005</v>
      </c>
      <c r="I43" s="72">
        <f t="shared" si="8"/>
        <v>-1785.0664999999999</v>
      </c>
      <c r="J43" s="72">
        <f t="shared" si="8"/>
        <v>769.60600000000068</v>
      </c>
      <c r="K43" s="72">
        <f t="shared" si="8"/>
        <v>2656.9214999999999</v>
      </c>
      <c r="L43" s="72">
        <f t="shared" si="8"/>
        <v>2798.4640000000004</v>
      </c>
      <c r="M43" s="72">
        <f t="shared" si="8"/>
        <v>3559.5204999999996</v>
      </c>
      <c r="N43" s="72">
        <f t="shared" si="8"/>
        <v>3567.0034999999993</v>
      </c>
      <c r="O43" s="72">
        <f t="shared" si="8"/>
        <v>2708.9650000000006</v>
      </c>
      <c r="P43" s="72">
        <f t="shared" si="8"/>
        <v>722.89849999999979</v>
      </c>
      <c r="Q43" s="74">
        <f>SUM(D43:P43)</f>
        <v>357.68250000000126</v>
      </c>
      <c r="R43" s="4"/>
      <c r="T43" s="71"/>
    </row>
    <row r="44" spans="1:20" ht="9" customHeight="1" thickBot="1" x14ac:dyDescent="0.35">
      <c r="A44" s="1"/>
      <c r="B44" s="61"/>
      <c r="C44" s="52"/>
      <c r="D44" s="52"/>
      <c r="E44" s="52"/>
      <c r="F44" s="52"/>
      <c r="G44" s="52"/>
      <c r="H44" s="52"/>
      <c r="I44" s="52"/>
      <c r="J44" s="52"/>
      <c r="K44" s="52"/>
      <c r="L44" s="52"/>
      <c r="M44" s="52"/>
      <c r="N44" s="52"/>
      <c r="O44" s="52"/>
      <c r="P44" s="52"/>
      <c r="Q44" s="54"/>
      <c r="R44" s="4"/>
    </row>
    <row r="45" spans="1:20" x14ac:dyDescent="0.3">
      <c r="A45" s="4"/>
      <c r="B45" s="4"/>
      <c r="C45" s="4"/>
      <c r="D45" s="4"/>
      <c r="E45" s="4"/>
      <c r="F45" s="4"/>
      <c r="G45" s="4"/>
      <c r="H45" s="4"/>
      <c r="I45" s="4"/>
      <c r="J45" s="4"/>
      <c r="K45" s="4"/>
      <c r="L45" s="4"/>
      <c r="M45" s="4"/>
      <c r="N45" s="4"/>
      <c r="O45" s="4"/>
      <c r="P45" s="4"/>
      <c r="Q45" s="4"/>
      <c r="R45" s="4"/>
    </row>
    <row r="46" spans="1:20" x14ac:dyDescent="0.3">
      <c r="A46" s="4"/>
      <c r="B46" s="75" t="s">
        <v>32</v>
      </c>
      <c r="C46" s="4"/>
      <c r="D46" s="4"/>
      <c r="E46" s="4"/>
      <c r="F46" s="4"/>
      <c r="G46" s="4"/>
      <c r="H46" s="4"/>
      <c r="I46" s="4"/>
      <c r="J46" s="4"/>
      <c r="K46" s="4"/>
      <c r="L46" s="4"/>
      <c r="M46" s="4"/>
      <c r="N46" s="4"/>
      <c r="O46" s="4"/>
      <c r="P46" s="4"/>
      <c r="Q46" s="4"/>
      <c r="R46" s="4"/>
    </row>
    <row r="47" spans="1:20" x14ac:dyDescent="0.3">
      <c r="D47" s="71"/>
    </row>
    <row r="48" spans="1:20" x14ac:dyDescent="0.3">
      <c r="E48" s="71"/>
      <c r="H48" s="71"/>
      <c r="Q48" s="71"/>
    </row>
    <row r="49" spans="3:8" x14ac:dyDescent="0.3">
      <c r="C49" s="76"/>
      <c r="H49" s="71"/>
    </row>
  </sheetData>
  <mergeCells count="5">
    <mergeCell ref="B3:Q3"/>
    <mergeCell ref="B4:Q4"/>
    <mergeCell ref="B5:Q5"/>
    <mergeCell ref="B6:Q6"/>
    <mergeCell ref="B33:Q33"/>
  </mergeCells>
  <printOptions horizontalCentered="1" verticalCentered="1"/>
  <pageMargins left="0.25" right="0.25" top="0.25" bottom="0.25" header="0.511811023622047" footer="0.511811023622047"/>
  <pageSetup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workbookViewId="0">
      <selection activeCell="E14" sqref="E14"/>
    </sheetView>
  </sheetViews>
  <sheetFormatPr defaultColWidth="8.28515625" defaultRowHeight="15" x14ac:dyDescent="0.3"/>
  <cols>
    <col min="1" max="1" width="1.85546875" style="5" customWidth="1"/>
    <col min="2" max="2" width="8.28515625" style="5" customWidth="1"/>
    <col min="3" max="3" width="45.28515625" style="5" customWidth="1"/>
    <col min="4" max="7" width="11.28515625" style="5" customWidth="1"/>
    <col min="8" max="8" width="11.85546875" style="5" customWidth="1"/>
    <col min="9" max="9" width="11.28515625" style="5" customWidth="1"/>
    <col min="10" max="10" width="11.140625" style="5" customWidth="1"/>
    <col min="11" max="11" width="11.7109375" style="5" customWidth="1"/>
    <col min="12" max="12" width="12.42578125" style="5" customWidth="1"/>
    <col min="13" max="13" width="11.85546875" style="5" customWidth="1"/>
    <col min="14" max="14" width="12.28515625" style="5" customWidth="1"/>
    <col min="15" max="16" width="12.7109375" style="5" customWidth="1"/>
    <col min="17" max="17" width="13.140625" style="5" customWidth="1"/>
    <col min="18" max="18" width="2.140625" style="5" customWidth="1"/>
    <col min="19" max="16384" width="8.28515625" style="5"/>
  </cols>
  <sheetData>
    <row r="1" spans="1:18" ht="27" x14ac:dyDescent="0.5">
      <c r="A1" s="1"/>
      <c r="B1" s="2"/>
      <c r="C1" s="2"/>
      <c r="D1" s="1"/>
      <c r="E1" s="1"/>
      <c r="F1" s="1"/>
      <c r="G1" s="1"/>
      <c r="H1" s="1"/>
      <c r="I1" s="1"/>
      <c r="J1" s="1"/>
      <c r="K1" s="1"/>
      <c r="L1" s="1"/>
      <c r="M1" s="1"/>
      <c r="N1" s="1"/>
      <c r="O1" s="1"/>
      <c r="P1" s="1"/>
      <c r="Q1" s="3" t="s">
        <v>0</v>
      </c>
      <c r="R1" s="4"/>
    </row>
    <row r="2" spans="1:18" x14ac:dyDescent="0.3">
      <c r="A2" s="6"/>
      <c r="B2" s="1"/>
      <c r="C2" s="1"/>
      <c r="D2" s="1"/>
      <c r="E2" s="1"/>
      <c r="F2" s="1"/>
      <c r="G2" s="1"/>
      <c r="H2" s="4"/>
      <c r="I2" s="4"/>
      <c r="J2" s="4"/>
      <c r="K2" s="4"/>
      <c r="L2" s="4"/>
      <c r="M2" s="4"/>
      <c r="N2" s="4"/>
      <c r="O2" s="4"/>
      <c r="P2" s="4"/>
      <c r="Q2" s="4"/>
      <c r="R2" s="4"/>
    </row>
    <row r="3" spans="1:18" ht="22.5" x14ac:dyDescent="0.4">
      <c r="A3" s="6"/>
      <c r="B3" s="184" t="s">
        <v>1</v>
      </c>
      <c r="C3" s="184"/>
      <c r="D3" s="184"/>
      <c r="E3" s="184"/>
      <c r="F3" s="184"/>
      <c r="G3" s="184"/>
      <c r="H3" s="184"/>
      <c r="I3" s="184"/>
      <c r="J3" s="184"/>
      <c r="K3" s="184"/>
      <c r="L3" s="184"/>
      <c r="M3" s="184"/>
      <c r="N3" s="184"/>
      <c r="O3" s="184"/>
      <c r="P3" s="184"/>
      <c r="Q3" s="184"/>
      <c r="R3" s="4"/>
    </row>
    <row r="4" spans="1:18" ht="18" x14ac:dyDescent="0.35">
      <c r="A4" s="6"/>
      <c r="B4" s="185" t="s">
        <v>2</v>
      </c>
      <c r="C4" s="185"/>
      <c r="D4" s="185"/>
      <c r="E4" s="185"/>
      <c r="F4" s="185"/>
      <c r="G4" s="185"/>
      <c r="H4" s="185"/>
      <c r="I4" s="185"/>
      <c r="J4" s="185"/>
      <c r="K4" s="185"/>
      <c r="L4" s="185"/>
      <c r="M4" s="185"/>
      <c r="N4" s="185"/>
      <c r="O4" s="185"/>
      <c r="P4" s="185"/>
      <c r="Q4" s="185"/>
      <c r="R4" s="4"/>
    </row>
    <row r="5" spans="1:18" ht="18" x14ac:dyDescent="0.35">
      <c r="A5" s="6"/>
      <c r="B5" s="185" t="s">
        <v>33</v>
      </c>
      <c r="C5" s="185"/>
      <c r="D5" s="185"/>
      <c r="E5" s="185"/>
      <c r="F5" s="185"/>
      <c r="G5" s="185"/>
      <c r="H5" s="185"/>
      <c r="I5" s="185"/>
      <c r="J5" s="185"/>
      <c r="K5" s="185"/>
      <c r="L5" s="185"/>
      <c r="M5" s="185"/>
      <c r="N5" s="185"/>
      <c r="O5" s="185"/>
      <c r="P5" s="185"/>
      <c r="Q5" s="185"/>
      <c r="R5" s="4"/>
    </row>
    <row r="6" spans="1:18" ht="24" customHeight="1" x14ac:dyDescent="0.35">
      <c r="A6" s="6"/>
      <c r="B6" s="185"/>
      <c r="C6" s="185"/>
      <c r="D6" s="185"/>
      <c r="E6" s="185"/>
      <c r="F6" s="185"/>
      <c r="G6" s="185"/>
      <c r="H6" s="185"/>
      <c r="I6" s="185"/>
      <c r="J6" s="185"/>
      <c r="K6" s="185"/>
      <c r="L6" s="185"/>
      <c r="M6" s="185"/>
      <c r="N6" s="185"/>
      <c r="O6" s="185"/>
      <c r="P6" s="185"/>
      <c r="Q6" s="185"/>
      <c r="R6" s="4"/>
    </row>
    <row r="7" spans="1:18" ht="15.75" thickBot="1" x14ac:dyDescent="0.35">
      <c r="A7" s="6"/>
      <c r="B7" s="1"/>
      <c r="C7" s="10"/>
      <c r="D7" s="10"/>
      <c r="E7" s="10">
        <v>1</v>
      </c>
      <c r="F7" s="10">
        <v>2</v>
      </c>
      <c r="G7" s="10">
        <v>3</v>
      </c>
      <c r="H7" s="10">
        <v>4</v>
      </c>
      <c r="I7" s="11">
        <v>5</v>
      </c>
      <c r="J7" s="11">
        <v>6</v>
      </c>
      <c r="K7" s="11">
        <v>7</v>
      </c>
      <c r="L7" s="11">
        <v>8</v>
      </c>
      <c r="M7" s="11">
        <v>9</v>
      </c>
      <c r="N7" s="11">
        <v>10</v>
      </c>
      <c r="O7" s="11">
        <v>11</v>
      </c>
      <c r="P7" s="11">
        <v>12</v>
      </c>
      <c r="Q7" s="11">
        <v>13</v>
      </c>
      <c r="R7" s="4"/>
    </row>
    <row r="8" spans="1:18" x14ac:dyDescent="0.3">
      <c r="A8" s="1"/>
      <c r="B8" s="12"/>
      <c r="C8" s="13"/>
      <c r="D8" s="14"/>
      <c r="E8" s="14">
        <f>[3]CoGS!E1</f>
        <v>44866</v>
      </c>
      <c r="F8" s="14">
        <f>[3]CoGS!F1</f>
        <v>44896</v>
      </c>
      <c r="G8" s="14">
        <f>[3]CoGS!G1</f>
        <v>44927</v>
      </c>
      <c r="H8" s="14">
        <f>[3]CoGS!H1</f>
        <v>44958</v>
      </c>
      <c r="I8" s="14">
        <f>[3]CoGS!I1</f>
        <v>44986</v>
      </c>
      <c r="J8" s="14">
        <f>[3]CoGS!J1</f>
        <v>45017</v>
      </c>
      <c r="K8" s="14">
        <f>[3]CoGS!K1</f>
        <v>45047</v>
      </c>
      <c r="L8" s="14">
        <f>[3]CoGS!L1</f>
        <v>45078</v>
      </c>
      <c r="M8" s="14">
        <f>[3]CoGS!M1</f>
        <v>45108</v>
      </c>
      <c r="N8" s="14">
        <f>[3]CoGS!N1</f>
        <v>45139</v>
      </c>
      <c r="O8" s="14">
        <f>[3]CoGS!O1</f>
        <v>45170</v>
      </c>
      <c r="P8" s="15">
        <f>[3]CoGS!P1</f>
        <v>45200</v>
      </c>
      <c r="Q8" s="15" t="s">
        <v>4</v>
      </c>
      <c r="R8" s="4"/>
    </row>
    <row r="9" spans="1:18" x14ac:dyDescent="0.3">
      <c r="A9" s="1"/>
      <c r="B9" s="16" t="s">
        <v>5</v>
      </c>
      <c r="C9" s="17" t="s">
        <v>6</v>
      </c>
      <c r="D9" s="17"/>
      <c r="E9" s="18"/>
      <c r="F9" s="18"/>
      <c r="G9" s="18"/>
      <c r="H9" s="17"/>
      <c r="I9" s="17"/>
      <c r="J9" s="17"/>
      <c r="K9" s="17"/>
      <c r="L9" s="17"/>
      <c r="M9" s="17"/>
      <c r="N9" s="17"/>
      <c r="O9" s="17"/>
      <c r="P9" s="19"/>
      <c r="Q9" s="19"/>
      <c r="R9" s="4"/>
    </row>
    <row r="10" spans="1:18" ht="33" hidden="1" customHeight="1" x14ac:dyDescent="0.3">
      <c r="A10" s="1"/>
      <c r="B10" s="20">
        <v>1</v>
      </c>
      <c r="C10" s="21" t="s">
        <v>34</v>
      </c>
      <c r="D10" s="21"/>
      <c r="E10" s="22">
        <f>[3]CoGS!B181/1000</f>
        <v>46822.214367894776</v>
      </c>
      <c r="F10" s="23"/>
      <c r="G10" s="23"/>
      <c r="H10" s="24"/>
      <c r="I10" s="24"/>
      <c r="J10" s="24"/>
      <c r="K10" s="24"/>
      <c r="L10" s="24"/>
      <c r="M10" s="24"/>
      <c r="N10" s="24"/>
      <c r="O10" s="24"/>
      <c r="P10" s="25"/>
      <c r="Q10" s="25"/>
      <c r="R10" s="4"/>
    </row>
    <row r="11" spans="1:18" ht="24.95" hidden="1" customHeight="1" x14ac:dyDescent="0.3">
      <c r="A11" s="1"/>
      <c r="B11" s="26">
        <v>2</v>
      </c>
      <c r="C11" s="27" t="s">
        <v>8</v>
      </c>
      <c r="D11" s="28"/>
      <c r="E11" s="22">
        <f>E10</f>
        <v>46822.214367894776</v>
      </c>
      <c r="F11" s="29">
        <f>[3]CoGS!E183/1000</f>
        <v>48846.799221324189</v>
      </c>
      <c r="G11" s="29">
        <f>[3]CoGS!F183/1000</f>
        <v>52386.393567648607</v>
      </c>
      <c r="H11" s="29">
        <f>[3]CoGS!G183/1000</f>
        <v>56339.397554206531</v>
      </c>
      <c r="I11" s="29">
        <f>[3]CoGS!H183/1000</f>
        <v>59424.092113513616</v>
      </c>
      <c r="J11" s="29">
        <f>[3]CoGS!I183/1000</f>
        <v>61365.124615632347</v>
      </c>
      <c r="K11" s="29">
        <f>[3]CoGS!J183/1000</f>
        <v>62984.510086670605</v>
      </c>
      <c r="L11" s="29">
        <f>[3]CoGS!K183/1000</f>
        <v>63873.335015681718</v>
      </c>
      <c r="M11" s="29">
        <f>[3]CoGS!L183/1000</f>
        <v>64666.599834037115</v>
      </c>
      <c r="N11" s="29">
        <f>[3]CoGS!M183/1000</f>
        <v>65219.378658617854</v>
      </c>
      <c r="O11" s="29">
        <f>[3]CoGS!N183/1000</f>
        <v>65785.889382260648</v>
      </c>
      <c r="P11" s="30">
        <f>[3]CoGS!O183/1000</f>
        <v>66654.147720905734</v>
      </c>
      <c r="Q11" s="31"/>
      <c r="R11" s="4"/>
    </row>
    <row r="12" spans="1:18" ht="24.95" customHeight="1" x14ac:dyDescent="0.3">
      <c r="A12" s="1"/>
      <c r="B12" s="32">
        <v>1</v>
      </c>
      <c r="C12" s="1" t="s">
        <v>9</v>
      </c>
      <c r="D12" s="33"/>
      <c r="E12" s="33">
        <f>[3]CoGS!E54/1000-[3]CoGS!E50/1000</f>
        <v>2989.5</v>
      </c>
      <c r="F12" s="33">
        <f>[3]CoGS!F54/1000-[3]CoGS!F50/1000</f>
        <v>3089.1499999999996</v>
      </c>
      <c r="G12" s="33">
        <f>[3]CoGS!G54/1000-[3]CoGS!G50/1000</f>
        <v>3089.1500000000015</v>
      </c>
      <c r="H12" s="33">
        <f>[3]CoGS!H54/1000-[3]CoGS!H50/1000</f>
        <v>2790.2000000000007</v>
      </c>
      <c r="I12" s="33">
        <f>[3]CoGS!I54/1000-[3]CoGS!I50/1000</f>
        <v>3089.1500000000015</v>
      </c>
      <c r="J12" s="33">
        <f>[3]CoGS!J54/1000-[3]CoGS!J50/1000</f>
        <v>2318.25</v>
      </c>
      <c r="K12" s="33">
        <f>[3]CoGS!K54/1000-[3]CoGS!K50/1000</f>
        <v>2395.5249999999996</v>
      </c>
      <c r="L12" s="33">
        <f>[3]CoGS!L54/1000-[3]CoGS!L50/1000</f>
        <v>2318.25</v>
      </c>
      <c r="M12" s="33">
        <f>[3]CoGS!M54/1000-[3]CoGS!M50/1000</f>
        <v>2395.5249999999996</v>
      </c>
      <c r="N12" s="33">
        <f>[3]CoGS!N54/1000-[3]CoGS!N50/1000</f>
        <v>2395.5249999999996</v>
      </c>
      <c r="O12" s="33">
        <f>[3]CoGS!O54/1000-[3]CoGS!O50/1000</f>
        <v>2318.25</v>
      </c>
      <c r="P12" s="36">
        <f>[3]CoGS!P54/1000-[3]CoGS!P50/1000</f>
        <v>2395.5249999999996</v>
      </c>
      <c r="Q12" s="35">
        <f t="shared" ref="Q12:Q23" si="0">SUM(D12:P12)</f>
        <v>31584.000000000007</v>
      </c>
      <c r="R12" s="4"/>
    </row>
    <row r="13" spans="1:18" ht="24.95" customHeight="1" x14ac:dyDescent="0.3">
      <c r="A13" s="1"/>
      <c r="B13" s="32">
        <v>2</v>
      </c>
      <c r="C13" s="1" t="s">
        <v>10</v>
      </c>
      <c r="D13" s="33"/>
      <c r="E13" s="33">
        <f>[3]CoGS!E50/1000</f>
        <v>10112.400900000001</v>
      </c>
      <c r="F13" s="33">
        <f>[3]CoGS!F50/1000</f>
        <v>10449.48093</v>
      </c>
      <c r="G13" s="33">
        <f>[3]CoGS!G50/1000</f>
        <v>10489.528279999999</v>
      </c>
      <c r="H13" s="33">
        <f>[3]CoGS!H50/1000</f>
        <v>9474.4126400000005</v>
      </c>
      <c r="I13" s="33">
        <f>[3]CoGS!I50/1000</f>
        <v>10489.528279999999</v>
      </c>
      <c r="J13" s="33">
        <f>[3]CoGS!J50/1000</f>
        <v>8467.6614000000009</v>
      </c>
      <c r="K13" s="33">
        <f>[3]CoGS!K50/1000</f>
        <v>8749.9167799999996</v>
      </c>
      <c r="L13" s="33">
        <f>[3]CoGS!L50/1000</f>
        <v>8467.6614000000009</v>
      </c>
      <c r="M13" s="33">
        <f>[3]CoGS!M50/1000</f>
        <v>8749.9167799999996</v>
      </c>
      <c r="N13" s="33">
        <f>[3]CoGS!N50/1000</f>
        <v>8749.9167799999996</v>
      </c>
      <c r="O13" s="33">
        <f>[3]CoGS!O50/1000</f>
        <v>8467.6614000000009</v>
      </c>
      <c r="P13" s="36">
        <f>[3]CoGS!P50/1000</f>
        <v>8749.7014880000006</v>
      </c>
      <c r="Q13" s="36">
        <f t="shared" si="0"/>
        <v>111417.787058</v>
      </c>
      <c r="R13" s="4"/>
    </row>
    <row r="14" spans="1:18" ht="24.95" customHeight="1" x14ac:dyDescent="0.3">
      <c r="A14" s="1"/>
      <c r="B14" s="32">
        <v>3</v>
      </c>
      <c r="C14" s="1" t="s">
        <v>11</v>
      </c>
      <c r="D14" s="37"/>
      <c r="E14" s="37">
        <f>-[3]CoGS!E108/1000</f>
        <v>-2837.88</v>
      </c>
      <c r="F14" s="37">
        <f>-[3]CoGS!F108/1000</f>
        <v>-2932.4760000000001</v>
      </c>
      <c r="G14" s="37">
        <f>-[3]CoGS!G108/1000</f>
        <v>-2932.4760000000001</v>
      </c>
      <c r="H14" s="37">
        <f>-[3]CoGS!H108/1000</f>
        <v>-2648.6880000000001</v>
      </c>
      <c r="I14" s="37">
        <f>-[3]CoGS!I108/1000</f>
        <v>-2932.4760000000001</v>
      </c>
      <c r="J14" s="37">
        <f>-[3]CoGS!J108/1000</f>
        <v>0</v>
      </c>
      <c r="K14" s="37">
        <f>-[3]CoGS!K108/1000</f>
        <v>0</v>
      </c>
      <c r="L14" s="37">
        <f>-[3]CoGS!L108/1000</f>
        <v>0</v>
      </c>
      <c r="M14" s="37">
        <f>-[3]CoGS!M108/1000</f>
        <v>0</v>
      </c>
      <c r="N14" s="37">
        <f>-[3]CoGS!N108/1000</f>
        <v>0</v>
      </c>
      <c r="O14" s="37">
        <f>-[3]CoGS!O108/1000</f>
        <v>0</v>
      </c>
      <c r="P14" s="36">
        <f>-[3]CoGS!P108/1000</f>
        <v>0</v>
      </c>
      <c r="Q14" s="36">
        <f t="shared" si="0"/>
        <v>-14283.996000000001</v>
      </c>
      <c r="R14" s="4"/>
    </row>
    <row r="15" spans="1:18" ht="24.95" customHeight="1" x14ac:dyDescent="0.3">
      <c r="A15" s="1"/>
      <c r="B15" s="20">
        <v>4</v>
      </c>
      <c r="C15" s="28" t="s">
        <v>12</v>
      </c>
      <c r="D15" s="22"/>
      <c r="E15" s="22">
        <f>[3]CoGS!E143/1000</f>
        <v>2353.1999999999998</v>
      </c>
      <c r="F15" s="22">
        <f>[3]CoGS!F143/1000</f>
        <v>2431.64</v>
      </c>
      <c r="G15" s="22">
        <f>[3]CoGS!G143/1000</f>
        <v>2431.64</v>
      </c>
      <c r="H15" s="22">
        <f>[3]CoGS!H143/1000</f>
        <v>2196.3200000000002</v>
      </c>
      <c r="I15" s="22">
        <f>[3]CoGS!I143/1000</f>
        <v>2431.64</v>
      </c>
      <c r="J15" s="22">
        <f>[3]CoGS!J143/1000</f>
        <v>2353.1999999999998</v>
      </c>
      <c r="K15" s="22">
        <f>[3]CoGS!K143/1000</f>
        <v>2431.64</v>
      </c>
      <c r="L15" s="22">
        <f>[3]CoGS!L143/1000</f>
        <v>2353.1999999999998</v>
      </c>
      <c r="M15" s="22">
        <f>[3]CoGS!M143/1000</f>
        <v>2431.64</v>
      </c>
      <c r="N15" s="22">
        <f>[3]CoGS!N143/1000</f>
        <v>2431.64</v>
      </c>
      <c r="O15" s="22">
        <f>[3]CoGS!O143/1000</f>
        <v>2353.1999999999998</v>
      </c>
      <c r="P15" s="38">
        <f>[3]CoGS!P143/1000</f>
        <v>2431.64</v>
      </c>
      <c r="Q15" s="38">
        <f t="shared" si="0"/>
        <v>28630.6</v>
      </c>
      <c r="R15" s="4"/>
    </row>
    <row r="16" spans="1:18" ht="24.95" customHeight="1" x14ac:dyDescent="0.3">
      <c r="A16" s="1"/>
      <c r="B16" s="32">
        <v>5</v>
      </c>
      <c r="C16" s="39" t="s">
        <v>13</v>
      </c>
      <c r="D16" s="40"/>
      <c r="E16" s="40">
        <f t="shared" ref="E16:P16" si="1">SUM(E12:E15)</f>
        <v>12617.2209</v>
      </c>
      <c r="F16" s="40">
        <f t="shared" si="1"/>
        <v>13037.794929999998</v>
      </c>
      <c r="G16" s="40">
        <f t="shared" si="1"/>
        <v>13077.842279999999</v>
      </c>
      <c r="H16" s="40">
        <f t="shared" si="1"/>
        <v>11812.244640000001</v>
      </c>
      <c r="I16" s="40">
        <f t="shared" si="1"/>
        <v>13077.842279999999</v>
      </c>
      <c r="J16" s="40">
        <f t="shared" si="1"/>
        <v>13139.111400000002</v>
      </c>
      <c r="K16" s="40">
        <f t="shared" si="1"/>
        <v>13577.081779999999</v>
      </c>
      <c r="L16" s="40">
        <f t="shared" si="1"/>
        <v>13139.111400000002</v>
      </c>
      <c r="M16" s="40">
        <f t="shared" si="1"/>
        <v>13577.081779999999</v>
      </c>
      <c r="N16" s="40">
        <f t="shared" si="1"/>
        <v>13577.081779999999</v>
      </c>
      <c r="O16" s="40">
        <f t="shared" si="1"/>
        <v>13139.111400000002</v>
      </c>
      <c r="P16" s="41">
        <f t="shared" si="1"/>
        <v>13576.866488</v>
      </c>
      <c r="Q16" s="41">
        <f t="shared" si="0"/>
        <v>157348.39105799998</v>
      </c>
      <c r="R16" s="4"/>
    </row>
    <row r="17" spans="1:18" ht="24.95" customHeight="1" x14ac:dyDescent="0.3">
      <c r="A17" s="1"/>
      <c r="B17" s="32">
        <v>6</v>
      </c>
      <c r="C17" s="1" t="s">
        <v>14</v>
      </c>
      <c r="D17" s="37"/>
      <c r="E17" s="37">
        <f>[3]CoGS!E148/1000</f>
        <v>6122.9670202373709</v>
      </c>
      <c r="F17" s="37">
        <f>[3]CoGS!F148/1000</f>
        <v>13633.629993871196</v>
      </c>
      <c r="G17" s="37">
        <f>[3]CoGS!G148/1000</f>
        <v>15741.767254865401</v>
      </c>
      <c r="H17" s="37">
        <f>[3]CoGS!H148/1000</f>
        <v>11902.680674108587</v>
      </c>
      <c r="I17" s="37">
        <f>[3]CoGS!I148/1000</f>
        <v>5846.9047548050648</v>
      </c>
      <c r="J17" s="37">
        <f>[3]CoGS!J148/1000</f>
        <v>-2223.8095500712261</v>
      </c>
      <c r="K17" s="37">
        <f>[3]CoGS!K148/1000</f>
        <v>-7867.9054142305076</v>
      </c>
      <c r="L17" s="37">
        <f>[3]CoGS!L148/1000</f>
        <v>-8294.1919892863061</v>
      </c>
      <c r="M17" s="37">
        <f>[3]CoGS!M148/1000</f>
        <v>-10568.107951892031</v>
      </c>
      <c r="N17" s="37">
        <f>[3]CoGS!N148/1000</f>
        <v>-10590.65748567124</v>
      </c>
      <c r="O17" s="37">
        <f>[3]CoGS!O148/1000</f>
        <v>-8026.0518122634203</v>
      </c>
      <c r="P17" s="36">
        <f>[3]CoGS!P148/1000</f>
        <v>-2083.4174744060838</v>
      </c>
      <c r="Q17" s="36">
        <f t="shared" si="0"/>
        <v>3593.8080200667973</v>
      </c>
      <c r="R17" s="4"/>
    </row>
    <row r="18" spans="1:18" ht="24.95" customHeight="1" x14ac:dyDescent="0.3">
      <c r="A18" s="1"/>
      <c r="B18" s="32">
        <v>7</v>
      </c>
      <c r="C18" s="1" t="s">
        <v>15</v>
      </c>
      <c r="D18" s="37"/>
      <c r="E18" s="37">
        <f>[3]CoGS!E152/1000</f>
        <v>12.1500262291921</v>
      </c>
      <c r="F18" s="37">
        <f>[3]CoGS!F152/1000</f>
        <v>12.1500262291921</v>
      </c>
      <c r="G18" s="37">
        <f>[3]CoGS!G152/1000</f>
        <v>12.1500262291921</v>
      </c>
      <c r="H18" s="37">
        <f>[3]CoGS!H152/1000</f>
        <v>12.1500262291921</v>
      </c>
      <c r="I18" s="37">
        <f>[3]CoGS!I152/1000</f>
        <v>12.1500262291921</v>
      </c>
      <c r="J18" s="37">
        <f>[3]CoGS!J152/1000</f>
        <v>12.1500262291921</v>
      </c>
      <c r="K18" s="37">
        <f>[3]CoGS!K152/1000</f>
        <v>12.1500262291921</v>
      </c>
      <c r="L18" s="37">
        <f>[3]CoGS!L152/1000</f>
        <v>12.1500262291921</v>
      </c>
      <c r="M18" s="37">
        <f>[3]CoGS!M152/1000</f>
        <v>12.1500262291921</v>
      </c>
      <c r="N18" s="37">
        <f>[3]CoGS!N152/1000</f>
        <v>12.1500262291921</v>
      </c>
      <c r="O18" s="37">
        <f>[3]CoGS!O152/1000</f>
        <v>12.1500262291921</v>
      </c>
      <c r="P18" s="36">
        <f>[3]CoGS!P152/1000</f>
        <v>12.1500262291921</v>
      </c>
      <c r="Q18" s="36">
        <f t="shared" si="0"/>
        <v>145.80031475030518</v>
      </c>
      <c r="R18" s="4"/>
    </row>
    <row r="19" spans="1:18" ht="24.95" customHeight="1" x14ac:dyDescent="0.3">
      <c r="A19" s="1"/>
      <c r="B19" s="32">
        <v>8</v>
      </c>
      <c r="C19" s="1" t="s">
        <v>16</v>
      </c>
      <c r="D19" s="37"/>
      <c r="E19" s="37">
        <f>('[3]Operating Expenses'!E12)/1000</f>
        <v>116.66666666666667</v>
      </c>
      <c r="F19" s="37">
        <f>('[3]Operating Expenses'!F12)/1000</f>
        <v>116.66666666666667</v>
      </c>
      <c r="G19" s="37">
        <f>('[3]Operating Expenses'!G12)/1000</f>
        <v>116.66666666666667</v>
      </c>
      <c r="H19" s="37">
        <f>('[3]Operating Expenses'!H12)/1000</f>
        <v>116.66666666666667</v>
      </c>
      <c r="I19" s="37">
        <f>('[3]Operating Expenses'!I12)/1000</f>
        <v>116.66666666666667</v>
      </c>
      <c r="J19" s="37">
        <f>('[3]Operating Expenses'!J12)/1000</f>
        <v>116.66666666666667</v>
      </c>
      <c r="K19" s="37">
        <f>('[3]Operating Expenses'!K12)/1000</f>
        <v>116.66666666666667</v>
      </c>
      <c r="L19" s="37">
        <f>('[3]Operating Expenses'!L12)/1000</f>
        <v>116.66666666666667</v>
      </c>
      <c r="M19" s="37">
        <f>('[3]Operating Expenses'!M12)/1000</f>
        <v>116.66666666666667</v>
      </c>
      <c r="N19" s="37">
        <f>('[3]Operating Expenses'!N12)/1000</f>
        <v>116.66666666666667</v>
      </c>
      <c r="O19" s="37">
        <f>('[3]Operating Expenses'!O12)/1000</f>
        <v>116.66666666666667</v>
      </c>
      <c r="P19" s="37">
        <f>('[3]Operating Expenses'!P12)/1000</f>
        <v>116.66666666666667</v>
      </c>
      <c r="Q19" s="42">
        <f t="shared" si="0"/>
        <v>1400.0000000000002</v>
      </c>
      <c r="R19" s="4"/>
    </row>
    <row r="20" spans="1:18" ht="24.95" customHeight="1" x14ac:dyDescent="0.3">
      <c r="A20" s="1"/>
      <c r="B20" s="32">
        <v>9</v>
      </c>
      <c r="C20" s="1" t="s">
        <v>17</v>
      </c>
      <c r="D20" s="37"/>
      <c r="E20" s="37">
        <f>'[3]Operating Expenses'!E13/1000</f>
        <v>65.993933470499996</v>
      </c>
      <c r="F20" s="37">
        <f>'[3]Operating Expenses'!F13/1000</f>
        <v>91.139523441749986</v>
      </c>
      <c r="G20" s="37">
        <f>'[3]Operating Expenses'!G13/1000</f>
        <v>97.688681212500001</v>
      </c>
      <c r="H20" s="37">
        <f>'[3]Operating Expenses'!H13/1000</f>
        <v>80.842904005499989</v>
      </c>
      <c r="I20" s="37">
        <f>'[3]Operating Expenses'!I13/1000</f>
        <v>66.185824540499993</v>
      </c>
      <c r="J20" s="37">
        <f>'[3]Operating Expenses'!J13/1000</f>
        <v>36.189058405499999</v>
      </c>
      <c r="K20" s="37">
        <f>'[3]Operating Expenses'!K13/1000</f>
        <v>18.579623926499998</v>
      </c>
      <c r="L20" s="37">
        <f>'[3]Operating Expenses'!L13/1000</f>
        <v>15.951408133499999</v>
      </c>
      <c r="M20" s="37">
        <f>'[3]Operating Expenses'!M13/1000</f>
        <v>9.9165560759999991</v>
      </c>
      <c r="N20" s="37">
        <f>'[3]Operating Expenses'!N13/1000</f>
        <v>10.002123620999999</v>
      </c>
      <c r="O20" s="37">
        <f>'[3]Operating Expenses'!O13/1000</f>
        <v>17.040120331499999</v>
      </c>
      <c r="P20" s="37">
        <f>'[3]Operating Expenses'!P13/1000</f>
        <v>38.6792672805</v>
      </c>
      <c r="Q20" s="42">
        <f t="shared" si="0"/>
        <v>548.20902444525007</v>
      </c>
      <c r="R20" s="4"/>
    </row>
    <row r="21" spans="1:18" ht="24.95" customHeight="1" x14ac:dyDescent="0.3">
      <c r="A21" s="1"/>
      <c r="B21" s="32">
        <v>10</v>
      </c>
      <c r="C21" s="1" t="s">
        <v>18</v>
      </c>
      <c r="D21" s="37"/>
      <c r="E21" s="37">
        <f>[3]CoGS!E154/1000</f>
        <v>-44.455169330293046</v>
      </c>
      <c r="F21" s="37">
        <f>[3]CoGS!F154/1000</f>
        <v>-57.036821027545798</v>
      </c>
      <c r="G21" s="37">
        <f>[3]CoGS!G154/1000</f>
        <v>-83.877677981684982</v>
      </c>
      <c r="H21" s="37">
        <f>[3]CoGS!H154/1000</f>
        <v>-109.04098137619049</v>
      </c>
      <c r="I21" s="37">
        <f>[3]CoGS!I154/1000</f>
        <v>-109.87975815600733</v>
      </c>
      <c r="J21" s="37">
        <f>[3]CoGS!J154/1000</f>
        <v>-99.814436798205136</v>
      </c>
      <c r="K21" s="37">
        <f>[3]CoGS!K154/1000</f>
        <v>-84.716454761501836</v>
      </c>
      <c r="L21" s="37">
        <f>[3]CoGS!L154/1000</f>
        <v>-67.940919165164843</v>
      </c>
      <c r="M21" s="37">
        <f>[3]CoGS!M154/1000</f>
        <v>-54.520490688095244</v>
      </c>
      <c r="N21" s="37">
        <f>[3]CoGS!N154/1000</f>
        <v>-46.13272288992674</v>
      </c>
      <c r="O21" s="37">
        <f>[3]CoGS!O154/1000</f>
        <v>-41.100062211025644</v>
      </c>
      <c r="P21" s="36">
        <f>[3]CoGS!P154/1000</f>
        <v>-40.261285431208798</v>
      </c>
      <c r="Q21" s="36">
        <f t="shared" si="0"/>
        <v>-838.77677981684974</v>
      </c>
      <c r="R21" s="4"/>
    </row>
    <row r="22" spans="1:18" ht="24.95" customHeight="1" x14ac:dyDescent="0.3">
      <c r="A22" s="1"/>
      <c r="B22" s="20">
        <v>11</v>
      </c>
      <c r="C22" s="28" t="s">
        <v>19</v>
      </c>
      <c r="D22" s="22"/>
      <c r="E22" s="22">
        <f>[3]CoGS!E158/1000</f>
        <v>-188.5630282535835</v>
      </c>
      <c r="F22" s="22">
        <f>[3]CoGS!F158/1000</f>
        <v>-255.35110349083496</v>
      </c>
      <c r="G22" s="22">
        <f>[3]CoGS!G158/1000</f>
        <v>-325.52911110768861</v>
      </c>
      <c r="H22" s="22">
        <f>[3]CoGS!H158/1000</f>
        <v>-309.14689742420791</v>
      </c>
      <c r="I22" s="22">
        <f>[3]CoGS!I158/1000</f>
        <v>-361.94020903434432</v>
      </c>
      <c r="J22" s="22">
        <f>[3]CoGS!J158/1000</f>
        <v>-258.44539805747632</v>
      </c>
      <c r="K22" s="22">
        <f>[3]CoGS!K158/1000</f>
        <v>-239.82604881044659</v>
      </c>
      <c r="L22" s="22">
        <f>[3]CoGS!L158/1000</f>
        <v>-149.32059618839756</v>
      </c>
      <c r="M22" s="22">
        <f>[3]CoGS!M158/1000</f>
        <v>-90.91206650289142</v>
      </c>
      <c r="N22" s="22">
        <f>[3]CoGS!N158/1000</f>
        <v>-41.888248540427355</v>
      </c>
      <c r="O22" s="22">
        <f>[3]CoGS!O158/1000</f>
        <v>-96.370079089789613</v>
      </c>
      <c r="P22" s="38">
        <f>[3]CoGS!P158/1000</f>
        <v>-102.69208682533967</v>
      </c>
      <c r="Q22" s="38">
        <f t="shared" si="0"/>
        <v>-2419.984873325428</v>
      </c>
      <c r="R22" s="4"/>
    </row>
    <row r="23" spans="1:18" ht="24.95" customHeight="1" x14ac:dyDescent="0.3">
      <c r="A23" s="1"/>
      <c r="B23" s="32">
        <v>12</v>
      </c>
      <c r="C23" s="39" t="s">
        <v>20</v>
      </c>
      <c r="D23" s="43"/>
      <c r="E23" s="43">
        <f t="shared" ref="E23:P23" si="2">SUM(E16:E22)</f>
        <v>18701.980349019857</v>
      </c>
      <c r="F23" s="43">
        <f t="shared" si="2"/>
        <v>26578.993215690425</v>
      </c>
      <c r="G23" s="43">
        <f t="shared" si="2"/>
        <v>28636.708119884388</v>
      </c>
      <c r="H23" s="43">
        <f t="shared" si="2"/>
        <v>23506.397032209548</v>
      </c>
      <c r="I23" s="43">
        <f t="shared" si="2"/>
        <v>18647.929585051072</v>
      </c>
      <c r="J23" s="43">
        <f t="shared" si="2"/>
        <v>10722.047766374451</v>
      </c>
      <c r="K23" s="43">
        <f t="shared" si="2"/>
        <v>5532.030179019901</v>
      </c>
      <c r="L23" s="43">
        <f t="shared" si="2"/>
        <v>4772.425996389492</v>
      </c>
      <c r="M23" s="43">
        <f t="shared" si="2"/>
        <v>3002.2745198888397</v>
      </c>
      <c r="N23" s="43">
        <f t="shared" si="2"/>
        <v>3037.2221394152634</v>
      </c>
      <c r="O23" s="43">
        <f t="shared" si="2"/>
        <v>5121.4462596631247</v>
      </c>
      <c r="P23" s="44">
        <f t="shared" si="2"/>
        <v>11517.991601513726</v>
      </c>
      <c r="Q23" s="44">
        <f t="shared" si="0"/>
        <v>159777.44676412008</v>
      </c>
      <c r="R23" s="4"/>
    </row>
    <row r="24" spans="1:18" ht="24.95" hidden="1" customHeight="1" x14ac:dyDescent="0.3">
      <c r="A24" s="1"/>
      <c r="B24" s="20">
        <v>13</v>
      </c>
      <c r="C24" s="28" t="s">
        <v>35</v>
      </c>
      <c r="D24" s="28"/>
      <c r="E24" s="29">
        <f>[3]CoGS!E175/1000</f>
        <v>16701.988110900002</v>
      </c>
      <c r="F24" s="29">
        <f>[3]CoGS!F175/1000</f>
        <v>23065.9268625</v>
      </c>
      <c r="G24" s="29">
        <f>[3]CoGS!G175/1000</f>
        <v>24723.411875000002</v>
      </c>
      <c r="H24" s="29">
        <f>[3]CoGS!H175/1000</f>
        <v>20460.020425000002</v>
      </c>
      <c r="I24" s="29">
        <f>[3]CoGS!I175/1000</f>
        <v>16750.552674999999</v>
      </c>
      <c r="J24" s="29">
        <f>[3]CoGS!J175/1000</f>
        <v>9158.8604250000008</v>
      </c>
      <c r="K24" s="29">
        <f>[3]CoGS!K175/1000</f>
        <v>4702.199775</v>
      </c>
      <c r="L24" s="29">
        <f>[3]CoGS!L175/1000</f>
        <v>4037.0412249999999</v>
      </c>
      <c r="M24" s="29">
        <f>[3]CoGS!M175/1000</f>
        <v>2509.7186000000002</v>
      </c>
      <c r="N24" s="29">
        <f>[3]CoGS!N175/1000</f>
        <v>2531.37435</v>
      </c>
      <c r="O24" s="29">
        <f>[3]CoGS!O175/1000</f>
        <v>4312.5765250000004</v>
      </c>
      <c r="P24" s="31">
        <f>[3]CoGS!P175/1000</f>
        <v>9789.0916750000015</v>
      </c>
      <c r="Q24" s="38">
        <f>SUM(E24:P24)</f>
        <v>138742.76252339999</v>
      </c>
      <c r="R24" s="4"/>
    </row>
    <row r="25" spans="1:18" ht="24.95" hidden="1" customHeight="1" x14ac:dyDescent="0.3">
      <c r="A25" s="1"/>
      <c r="B25" s="32">
        <v>14</v>
      </c>
      <c r="C25" s="1" t="s">
        <v>22</v>
      </c>
      <c r="D25" s="1"/>
      <c r="E25" s="37">
        <f t="shared" ref="E25:P25" si="3">E23-E24</f>
        <v>1999.9922381198558</v>
      </c>
      <c r="F25" s="37">
        <f t="shared" si="3"/>
        <v>3513.0663531904247</v>
      </c>
      <c r="G25" s="37">
        <f t="shared" si="3"/>
        <v>3913.2962448843864</v>
      </c>
      <c r="H25" s="37">
        <f t="shared" si="3"/>
        <v>3046.3766072095459</v>
      </c>
      <c r="I25" s="37">
        <f t="shared" si="3"/>
        <v>1897.3769100510726</v>
      </c>
      <c r="J25" s="37">
        <f t="shared" si="3"/>
        <v>1563.1873413744506</v>
      </c>
      <c r="K25" s="37">
        <f t="shared" si="3"/>
        <v>829.83040401990093</v>
      </c>
      <c r="L25" s="37">
        <f t="shared" si="3"/>
        <v>735.38477138949202</v>
      </c>
      <c r="M25" s="37">
        <f t="shared" si="3"/>
        <v>492.55591988883953</v>
      </c>
      <c r="N25" s="37">
        <f t="shared" si="3"/>
        <v>505.84778941526338</v>
      </c>
      <c r="O25" s="37">
        <f t="shared" si="3"/>
        <v>808.86973466312429</v>
      </c>
      <c r="P25" s="36">
        <f t="shared" si="3"/>
        <v>1728.8999265137245</v>
      </c>
      <c r="Q25" s="38">
        <f>SUM(E25:P25)</f>
        <v>21034.684240720082</v>
      </c>
      <c r="R25" s="4"/>
    </row>
    <row r="26" spans="1:18" ht="24.95" hidden="1" customHeight="1" x14ac:dyDescent="0.3">
      <c r="A26" s="1"/>
      <c r="B26" s="32">
        <v>15</v>
      </c>
      <c r="C26" s="1" t="s">
        <v>23</v>
      </c>
      <c r="D26" s="1"/>
      <c r="E26" s="29">
        <f>[3]CoGS!E178/1000</f>
        <v>20.785448642897396</v>
      </c>
      <c r="F26" s="29">
        <f>[3]CoGS!F178/1000</f>
        <v>22.720826467321302</v>
      </c>
      <c r="G26" s="29">
        <f>[3]CoGS!G178/1000</f>
        <v>35.900575006876267</v>
      </c>
      <c r="H26" s="29">
        <f>[3]CoGS!H178/1000</f>
        <v>34.510785430877931</v>
      </c>
      <c r="I26" s="29">
        <f>[3]CoGS!I178/1000</f>
        <v>39.84842540099946</v>
      </c>
      <c r="J26" s="29">
        <f>[3]CoGS!J178/1000</f>
        <v>52.39096299714474</v>
      </c>
      <c r="K26" s="29">
        <f>[3]CoGS!K178/1000</f>
        <v>55.187358324544213</v>
      </c>
      <c r="L26" s="29">
        <f>[3]CoGS!L178/1000</f>
        <v>54.072880299238378</v>
      </c>
      <c r="M26" s="29">
        <f>[3]CoGS!M178/1000</f>
        <v>56.41573802522921</v>
      </c>
      <c r="N26" s="29">
        <f>[3]CoGS!N178/1000</f>
        <v>56.855767560865019</v>
      </c>
      <c r="O26" s="29">
        <f>[3]CoGS!O178/1000</f>
        <v>55.581437315293449</v>
      </c>
      <c r="P26" s="31">
        <f>[3]CoGS!P178/1000</f>
        <v>58.547495878013869</v>
      </c>
      <c r="Q26" s="38">
        <f>SUM(E26:P26)</f>
        <v>542.81770134930116</v>
      </c>
      <c r="R26" s="4"/>
    </row>
    <row r="27" spans="1:18" ht="24.95" hidden="1" customHeight="1" thickBot="1" x14ac:dyDescent="0.35">
      <c r="A27" s="1"/>
      <c r="B27" s="45">
        <v>16</v>
      </c>
      <c r="C27" s="46" t="s">
        <v>24</v>
      </c>
      <c r="D27" s="47"/>
      <c r="E27" s="48">
        <f t="shared" ref="E27:P27" si="4">E11+E25+E26</f>
        <v>48842.99205465753</v>
      </c>
      <c r="F27" s="48">
        <f t="shared" si="4"/>
        <v>52382.586400981934</v>
      </c>
      <c r="G27" s="48">
        <f t="shared" si="4"/>
        <v>56335.590387539865</v>
      </c>
      <c r="H27" s="48">
        <f t="shared" si="4"/>
        <v>59420.284946846958</v>
      </c>
      <c r="I27" s="48">
        <f t="shared" si="4"/>
        <v>61361.317448965681</v>
      </c>
      <c r="J27" s="48">
        <f t="shared" si="4"/>
        <v>62980.70292000394</v>
      </c>
      <c r="K27" s="48">
        <f t="shared" si="4"/>
        <v>63869.527849015052</v>
      </c>
      <c r="L27" s="48">
        <f t="shared" si="4"/>
        <v>64662.79266737045</v>
      </c>
      <c r="M27" s="48">
        <f t="shared" si="4"/>
        <v>65215.571491951181</v>
      </c>
      <c r="N27" s="48">
        <f t="shared" si="4"/>
        <v>65782.082215593982</v>
      </c>
      <c r="O27" s="48">
        <f t="shared" si="4"/>
        <v>66650.340554239068</v>
      </c>
      <c r="P27" s="49">
        <f t="shared" si="4"/>
        <v>68441.595143297469</v>
      </c>
      <c r="Q27" s="38">
        <f>P27</f>
        <v>68441.595143297469</v>
      </c>
      <c r="R27" s="4"/>
    </row>
    <row r="28" spans="1:18" ht="19.5" hidden="1" customHeight="1" thickTop="1" x14ac:dyDescent="0.3">
      <c r="A28" s="6"/>
      <c r="B28" s="32"/>
      <c r="C28" s="1"/>
      <c r="D28" s="1"/>
      <c r="E28" s="33"/>
      <c r="F28" s="33"/>
      <c r="G28" s="33"/>
      <c r="H28" s="33"/>
      <c r="I28" s="1"/>
      <c r="J28" s="1"/>
      <c r="K28" s="1"/>
      <c r="L28" s="1"/>
      <c r="M28" s="1"/>
      <c r="N28" s="1"/>
      <c r="O28" s="1"/>
      <c r="P28" s="1"/>
      <c r="Q28" s="50"/>
      <c r="R28" s="4"/>
    </row>
    <row r="29" spans="1:18" ht="15.75" thickBot="1" x14ac:dyDescent="0.35">
      <c r="A29" s="6"/>
      <c r="B29" s="51"/>
      <c r="C29" s="52"/>
      <c r="D29" s="52"/>
      <c r="E29" s="53"/>
      <c r="F29" s="53"/>
      <c r="G29" s="53"/>
      <c r="H29" s="53"/>
      <c r="I29" s="52"/>
      <c r="J29" s="52"/>
      <c r="K29" s="52"/>
      <c r="L29" s="52"/>
      <c r="M29" s="52"/>
      <c r="N29" s="52"/>
      <c r="O29" s="52"/>
      <c r="P29" s="52"/>
      <c r="Q29" s="54"/>
      <c r="R29" s="4"/>
    </row>
    <row r="30" spans="1:18" x14ac:dyDescent="0.3">
      <c r="A30" s="1"/>
      <c r="B30" s="55"/>
      <c r="C30" s="56"/>
      <c r="D30" s="56"/>
      <c r="E30" s="57"/>
      <c r="F30" s="57"/>
      <c r="G30" s="57"/>
      <c r="H30" s="57"/>
      <c r="I30" s="56"/>
      <c r="J30" s="56"/>
      <c r="K30" s="56"/>
      <c r="L30" s="56"/>
      <c r="M30" s="56"/>
      <c r="N30" s="56"/>
      <c r="O30" s="56"/>
      <c r="P30" s="56"/>
      <c r="Q30" s="56"/>
      <c r="R30" s="4"/>
    </row>
    <row r="31" spans="1:18" ht="15.75" thickBot="1" x14ac:dyDescent="0.35">
      <c r="A31" s="1"/>
      <c r="B31" s="10"/>
      <c r="C31" s="1"/>
      <c r="D31" s="1"/>
      <c r="E31" s="58"/>
      <c r="F31" s="58"/>
      <c r="G31" s="58"/>
      <c r="H31" s="58"/>
      <c r="I31" s="1"/>
      <c r="J31" s="1"/>
      <c r="K31" s="1"/>
      <c r="L31" s="1"/>
      <c r="M31" s="52"/>
      <c r="N31" s="52"/>
      <c r="O31" s="52"/>
      <c r="P31" s="52"/>
      <c r="Q31" s="52"/>
      <c r="R31" s="4"/>
    </row>
    <row r="32" spans="1:18" x14ac:dyDescent="0.3">
      <c r="A32" s="1"/>
      <c r="B32" s="59"/>
      <c r="C32" s="56"/>
      <c r="D32" s="56"/>
      <c r="E32" s="57"/>
      <c r="F32" s="57"/>
      <c r="G32" s="57"/>
      <c r="H32" s="57"/>
      <c r="I32" s="57"/>
      <c r="J32" s="57"/>
      <c r="K32" s="57"/>
      <c r="L32" s="57"/>
      <c r="M32" s="57"/>
      <c r="N32" s="57"/>
      <c r="O32" s="57"/>
      <c r="P32" s="57"/>
      <c r="Q32" s="60"/>
      <c r="R32" s="4"/>
    </row>
    <row r="33" spans="1:20" ht="18" x14ac:dyDescent="0.35">
      <c r="A33" s="1"/>
      <c r="B33" s="187" t="s">
        <v>25</v>
      </c>
      <c r="C33" s="185"/>
      <c r="D33" s="185"/>
      <c r="E33" s="185"/>
      <c r="F33" s="185"/>
      <c r="G33" s="185"/>
      <c r="H33" s="185"/>
      <c r="I33" s="185"/>
      <c r="J33" s="185"/>
      <c r="K33" s="185"/>
      <c r="L33" s="185"/>
      <c r="M33" s="185"/>
      <c r="N33" s="185"/>
      <c r="O33" s="185"/>
      <c r="P33" s="185"/>
      <c r="Q33" s="188"/>
      <c r="R33" s="4"/>
    </row>
    <row r="34" spans="1:20" ht="15.75" thickBot="1" x14ac:dyDescent="0.35">
      <c r="A34" s="1"/>
      <c r="B34" s="61"/>
      <c r="C34" s="52"/>
      <c r="D34" s="52"/>
      <c r="E34" s="62"/>
      <c r="F34" s="62"/>
      <c r="G34" s="62"/>
      <c r="H34" s="62"/>
      <c r="I34" s="62"/>
      <c r="J34" s="62"/>
      <c r="K34" s="62"/>
      <c r="L34" s="62"/>
      <c r="M34" s="62"/>
      <c r="N34" s="62"/>
      <c r="O34" s="62"/>
      <c r="P34" s="62"/>
      <c r="Q34" s="63"/>
      <c r="R34" s="4"/>
    </row>
    <row r="35" spans="1:20" x14ac:dyDescent="0.3">
      <c r="A35" s="1"/>
      <c r="B35" s="12"/>
      <c r="C35" s="13"/>
      <c r="D35" s="64"/>
      <c r="E35" s="14">
        <f t="shared" ref="E35:P35" si="5">E8</f>
        <v>44866</v>
      </c>
      <c r="F35" s="14">
        <f t="shared" si="5"/>
        <v>44896</v>
      </c>
      <c r="G35" s="14">
        <f t="shared" si="5"/>
        <v>44927</v>
      </c>
      <c r="H35" s="14">
        <f t="shared" si="5"/>
        <v>44958</v>
      </c>
      <c r="I35" s="14">
        <f t="shared" si="5"/>
        <v>44986</v>
      </c>
      <c r="J35" s="14">
        <f t="shared" si="5"/>
        <v>45017</v>
      </c>
      <c r="K35" s="14">
        <f t="shared" si="5"/>
        <v>45047</v>
      </c>
      <c r="L35" s="14">
        <f t="shared" si="5"/>
        <v>45078</v>
      </c>
      <c r="M35" s="14">
        <f t="shared" si="5"/>
        <v>45108</v>
      </c>
      <c r="N35" s="14">
        <f t="shared" si="5"/>
        <v>45139</v>
      </c>
      <c r="O35" s="14">
        <f t="shared" si="5"/>
        <v>45170</v>
      </c>
      <c r="P35" s="14">
        <f t="shared" si="5"/>
        <v>45200</v>
      </c>
      <c r="Q35" s="65" t="s">
        <v>4</v>
      </c>
      <c r="R35" s="4"/>
    </row>
    <row r="36" spans="1:20" x14ac:dyDescent="0.3">
      <c r="A36" s="1"/>
      <c r="B36" s="16" t="s">
        <v>5</v>
      </c>
      <c r="C36" s="17" t="s">
        <v>6</v>
      </c>
      <c r="D36" s="17"/>
      <c r="E36" s="18"/>
      <c r="F36" s="18"/>
      <c r="G36" s="18"/>
      <c r="H36" s="17"/>
      <c r="I36" s="17"/>
      <c r="J36" s="17"/>
      <c r="K36" s="17"/>
      <c r="L36" s="17"/>
      <c r="M36" s="17"/>
      <c r="N36" s="17"/>
      <c r="O36" s="17"/>
      <c r="P36" s="17"/>
      <c r="Q36" s="66"/>
      <c r="R36" s="4"/>
    </row>
    <row r="37" spans="1:20" ht="24.95" customHeight="1" x14ac:dyDescent="0.3">
      <c r="A37" s="1"/>
      <c r="B37" s="32">
        <v>13</v>
      </c>
      <c r="C37" s="1" t="s">
        <v>26</v>
      </c>
      <c r="D37" s="67"/>
      <c r="E37" s="67">
        <f>[3]CoGS!E20/1000</f>
        <v>6486.2089999999998</v>
      </c>
      <c r="F37" s="67">
        <f>[3]CoGS!F20/1000</f>
        <v>8957.6414999999997</v>
      </c>
      <c r="G37" s="67">
        <f>[3]CoGS!G20/1000</f>
        <v>9601.3250000000007</v>
      </c>
      <c r="H37" s="67">
        <f>[3]CoGS!H20/1000</f>
        <v>7945.6390000000001</v>
      </c>
      <c r="I37" s="67">
        <f>[3]CoGS!I20/1000</f>
        <v>6505.0690000000004</v>
      </c>
      <c r="J37" s="67">
        <f>[3]CoGS!J20/1000</f>
        <v>3556.8389999999999</v>
      </c>
      <c r="K37" s="67">
        <f>[3]CoGS!K20/1000</f>
        <v>1826.097</v>
      </c>
      <c r="L37" s="67">
        <f>[3]CoGS!L20/1000</f>
        <v>1567.7829999999999</v>
      </c>
      <c r="M37" s="67">
        <f>[3]CoGS!M20/1000</f>
        <v>974.64800000000002</v>
      </c>
      <c r="N37" s="67">
        <f>[3]CoGS!N20/1000</f>
        <v>983.05799999999999</v>
      </c>
      <c r="O37" s="67">
        <f>[3]CoGS!O20/1000</f>
        <v>1674.787</v>
      </c>
      <c r="P37" s="67">
        <f>[3]CoGS!P20/1000</f>
        <v>3801.5889999999999</v>
      </c>
      <c r="Q37" s="68">
        <f>SUM(D37:P37)</f>
        <v>53880.684500000003</v>
      </c>
      <c r="R37" s="4"/>
    </row>
    <row r="38" spans="1:20" ht="24.95" hidden="1" customHeight="1" x14ac:dyDescent="0.3">
      <c r="A38" s="1"/>
      <c r="B38" s="32">
        <v>18</v>
      </c>
      <c r="C38" s="1" t="s">
        <v>27</v>
      </c>
      <c r="D38" s="69"/>
      <c r="E38" s="69">
        <f>'[3]Accting Actuals &amp; GCVA'!E68</f>
        <v>2.5750000000000002</v>
      </c>
      <c r="F38" s="69">
        <f>'[3]Accting Actuals &amp; GCVA'!F68</f>
        <v>2.5750000000000002</v>
      </c>
      <c r="G38" s="69">
        <f>'[3]Accting Actuals &amp; GCVA'!G68</f>
        <v>2.5750000000000002</v>
      </c>
      <c r="H38" s="69">
        <f>'[3]Accting Actuals &amp; GCVA'!H68</f>
        <v>2.5750000000000002</v>
      </c>
      <c r="I38" s="69">
        <f>'[3]Accting Actuals &amp; GCVA'!I68</f>
        <v>2.5750000000000002</v>
      </c>
      <c r="J38" s="69">
        <f>'[3]Accting Actuals &amp; GCVA'!J68</f>
        <v>2.5750000000000002</v>
      </c>
      <c r="K38" s="69">
        <f>'[3]Accting Actuals &amp; GCVA'!K68</f>
        <v>2.5750000000000002</v>
      </c>
      <c r="L38" s="69">
        <f>'[3]Accting Actuals &amp; GCVA'!L68</f>
        <v>2.5750000000000002</v>
      </c>
      <c r="M38" s="69">
        <f>'[3]Accting Actuals &amp; GCVA'!M68</f>
        <v>2.5750000000000002</v>
      </c>
      <c r="N38" s="69">
        <f>'[3]Accting Actuals &amp; GCVA'!N68</f>
        <v>2.5750000000000002</v>
      </c>
      <c r="O38" s="69">
        <f>'[3]Accting Actuals &amp; GCVA'!O68</f>
        <v>2.5750000000000002</v>
      </c>
      <c r="P38" s="69">
        <f>'[3]Accting Actuals &amp; GCVA'!P68</f>
        <v>2.5750000000000002</v>
      </c>
      <c r="Q38" s="70"/>
      <c r="R38" s="4"/>
    </row>
    <row r="39" spans="1:20" ht="24.95" customHeight="1" x14ac:dyDescent="0.3">
      <c r="A39" s="1"/>
      <c r="B39" s="32">
        <v>14</v>
      </c>
      <c r="C39" s="1" t="s">
        <v>28</v>
      </c>
      <c r="D39" s="67"/>
      <c r="E39" s="67">
        <f>([3]CoGS!E17-[3]CoGS!E11)/1000</f>
        <v>4646.2049999999999</v>
      </c>
      <c r="F39" s="67">
        <f>([3]CoGS!F17-[3]CoGS!F11)/1000</f>
        <v>4801.0784999999996</v>
      </c>
      <c r="G39" s="67">
        <f>([3]CoGS!G17-[3]CoGS!G11)/1000</f>
        <v>4811.82</v>
      </c>
      <c r="H39" s="67">
        <f>([3]CoGS!H17-[3]CoGS!H11)/1000</f>
        <v>4346.16</v>
      </c>
      <c r="I39" s="67">
        <f>([3]CoGS!I17-[3]CoGS!I11)/1000</f>
        <v>4811.82</v>
      </c>
      <c r="J39" s="67">
        <f>([3]CoGS!J17-[3]CoGS!J11)/1000</f>
        <v>4384.6499999999996</v>
      </c>
      <c r="K39" s="67">
        <f>([3]CoGS!K17-[3]CoGS!K11)/1000</f>
        <v>4530.8050000000003</v>
      </c>
      <c r="L39" s="67">
        <f>([3]CoGS!L17-[3]CoGS!L11)/1000</f>
        <v>4384.6499999999996</v>
      </c>
      <c r="M39" s="67">
        <f>([3]CoGS!M17-[3]CoGS!M11)/1000</f>
        <v>4530.8050000000003</v>
      </c>
      <c r="N39" s="67">
        <f>([3]CoGS!N17-[3]CoGS!N11)/1000</f>
        <v>4530.8050000000003</v>
      </c>
      <c r="O39" s="67">
        <f>([3]CoGS!O17-[3]CoGS!O11)/1000</f>
        <v>4384.6499999999996</v>
      </c>
      <c r="P39" s="67">
        <f>([3]CoGS!P17-[3]CoGS!P11)/1000</f>
        <v>4530.7280000000001</v>
      </c>
      <c r="Q39" s="68">
        <f>SUM(D39:P39)</f>
        <v>54694.176500000009</v>
      </c>
      <c r="R39" s="4"/>
      <c r="S39" s="71"/>
    </row>
    <row r="40" spans="1:20" ht="24.95" customHeight="1" x14ac:dyDescent="0.3">
      <c r="A40" s="1"/>
      <c r="B40" s="32">
        <v>15</v>
      </c>
      <c r="C40" s="1" t="s">
        <v>29</v>
      </c>
      <c r="D40" s="69"/>
      <c r="E40" s="69">
        <f t="shared" ref="E40:P40" si="6">E16/E39</f>
        <v>2.715597116356252</v>
      </c>
      <c r="F40" s="69">
        <f t="shared" si="6"/>
        <v>2.715597116356252</v>
      </c>
      <c r="G40" s="69">
        <f t="shared" si="6"/>
        <v>2.7178577502899111</v>
      </c>
      <c r="H40" s="69">
        <f t="shared" si="6"/>
        <v>2.7178577502899115</v>
      </c>
      <c r="I40" s="69">
        <f t="shared" si="6"/>
        <v>2.7178577502899111</v>
      </c>
      <c r="J40" s="69">
        <f t="shared" si="6"/>
        <v>2.9966157846122274</v>
      </c>
      <c r="K40" s="69">
        <f t="shared" si="6"/>
        <v>2.9966157846122261</v>
      </c>
      <c r="L40" s="69">
        <f t="shared" si="6"/>
        <v>2.9966157846122274</v>
      </c>
      <c r="M40" s="69">
        <f t="shared" si="6"/>
        <v>2.9966157846122261</v>
      </c>
      <c r="N40" s="69">
        <f t="shared" si="6"/>
        <v>2.9966157846122261</v>
      </c>
      <c r="O40" s="69">
        <f t="shared" si="6"/>
        <v>2.9966157846122274</v>
      </c>
      <c r="P40" s="69">
        <f t="shared" si="6"/>
        <v>2.9966191940897797</v>
      </c>
      <c r="Q40" s="70"/>
      <c r="R40" s="4"/>
    </row>
    <row r="41" spans="1:20" ht="24.95" customHeight="1" x14ac:dyDescent="0.3">
      <c r="A41" s="1"/>
      <c r="B41" s="32">
        <v>16</v>
      </c>
      <c r="C41" s="1" t="s">
        <v>14</v>
      </c>
      <c r="D41" s="72"/>
      <c r="E41" s="67">
        <f t="shared" ref="E41:P41" si="7">E17/E42</f>
        <v>1905.3879999999999</v>
      </c>
      <c r="F41" s="67">
        <f t="shared" si="7"/>
        <v>4242.6089999999995</v>
      </c>
      <c r="G41" s="67">
        <f t="shared" si="7"/>
        <v>4898.634</v>
      </c>
      <c r="H41" s="67">
        <f t="shared" si="7"/>
        <v>3703.96</v>
      </c>
      <c r="I41" s="67">
        <f t="shared" si="7"/>
        <v>1819.481</v>
      </c>
      <c r="J41" s="72">
        <f t="shared" si="7"/>
        <v>-742.10700000000008</v>
      </c>
      <c r="K41" s="72">
        <f t="shared" si="7"/>
        <v>-2625.5969999999998</v>
      </c>
      <c r="L41" s="72">
        <f t="shared" si="7"/>
        <v>-2767.8530000000001</v>
      </c>
      <c r="M41" s="72">
        <f t="shared" si="7"/>
        <v>-3526.6809999999996</v>
      </c>
      <c r="N41" s="72">
        <f t="shared" si="7"/>
        <v>-3534.2060000000001</v>
      </c>
      <c r="O41" s="72">
        <f t="shared" si="7"/>
        <v>-2678.3720000000003</v>
      </c>
      <c r="P41" s="73">
        <f t="shared" si="7"/>
        <v>-695.25599999999997</v>
      </c>
      <c r="Q41" s="74">
        <f>SUM(D41:P41)</f>
        <v>0</v>
      </c>
      <c r="R41" s="4"/>
    </row>
    <row r="42" spans="1:20" ht="24.95" customHeight="1" x14ac:dyDescent="0.3">
      <c r="A42" s="1"/>
      <c r="B42" s="32">
        <v>17</v>
      </c>
      <c r="C42" s="1" t="s">
        <v>30</v>
      </c>
      <c r="D42" s="69"/>
      <c r="E42" s="69">
        <f>[3]Inventory!$B$12</f>
        <v>3.2135014077119051</v>
      </c>
      <c r="F42" s="69">
        <f>[3]Inventory!$B$12</f>
        <v>3.2135014077119051</v>
      </c>
      <c r="G42" s="69">
        <f>[3]Inventory!$B$12</f>
        <v>3.2135014077119051</v>
      </c>
      <c r="H42" s="69">
        <f>[3]Inventory!$B$12</f>
        <v>3.2135014077119051</v>
      </c>
      <c r="I42" s="69">
        <f>[3]Inventory!$B$12</f>
        <v>3.2135014077119051</v>
      </c>
      <c r="J42" s="69">
        <f>([3]Inventory!J19)</f>
        <v>2.996615784612227</v>
      </c>
      <c r="K42" s="69">
        <f>[3]Inventory!K19</f>
        <v>2.9966157846122266</v>
      </c>
      <c r="L42" s="69">
        <f>[3]Inventory!L19</f>
        <v>2.996615784612227</v>
      </c>
      <c r="M42" s="69">
        <f>[3]Inventory!M19</f>
        <v>2.9966157846122266</v>
      </c>
      <c r="N42" s="69">
        <f>[3]Inventory!N19</f>
        <v>2.9966157846122266</v>
      </c>
      <c r="O42" s="69">
        <f>[3]Inventory!O19</f>
        <v>2.996615784612227</v>
      </c>
      <c r="P42" s="69">
        <f>[3]Inventory!P19</f>
        <v>2.9966191940897797</v>
      </c>
      <c r="Q42" s="70"/>
      <c r="R42" s="4"/>
    </row>
    <row r="43" spans="1:20" ht="24.95" customHeight="1" x14ac:dyDescent="0.3">
      <c r="A43" s="1"/>
      <c r="B43" s="32">
        <v>18</v>
      </c>
      <c r="C43" s="1" t="s">
        <v>31</v>
      </c>
      <c r="D43" s="72"/>
      <c r="E43" s="72">
        <f t="shared" ref="E43:P43" si="8">E37-(E39+E41)</f>
        <v>-65.384000000000015</v>
      </c>
      <c r="F43" s="72">
        <f t="shared" si="8"/>
        <v>-86.046000000000276</v>
      </c>
      <c r="G43" s="72">
        <f t="shared" si="8"/>
        <v>-109.128999999999</v>
      </c>
      <c r="H43" s="72">
        <f t="shared" si="8"/>
        <v>-104.48099999999977</v>
      </c>
      <c r="I43" s="72">
        <f t="shared" si="8"/>
        <v>-126.23199999999906</v>
      </c>
      <c r="J43" s="72">
        <f t="shared" si="8"/>
        <v>-85.703999999999724</v>
      </c>
      <c r="K43" s="72">
        <f t="shared" si="8"/>
        <v>-79.111000000000558</v>
      </c>
      <c r="L43" s="72">
        <f t="shared" si="8"/>
        <v>-49.013999999999669</v>
      </c>
      <c r="M43" s="72">
        <f t="shared" si="8"/>
        <v>-29.476000000000681</v>
      </c>
      <c r="N43" s="72">
        <f t="shared" si="8"/>
        <v>-13.541000000000167</v>
      </c>
      <c r="O43" s="72">
        <f t="shared" si="8"/>
        <v>-31.490999999999303</v>
      </c>
      <c r="P43" s="72">
        <f t="shared" si="8"/>
        <v>-33.883000000000266</v>
      </c>
      <c r="Q43" s="74">
        <f>SUM(D43:P43)</f>
        <v>-813.49199999999848</v>
      </c>
      <c r="R43" s="4"/>
      <c r="T43" s="71"/>
    </row>
    <row r="44" spans="1:20" ht="9" customHeight="1" thickBot="1" x14ac:dyDescent="0.35">
      <c r="A44" s="1"/>
      <c r="B44" s="61"/>
      <c r="C44" s="52"/>
      <c r="D44" s="52"/>
      <c r="E44" s="52"/>
      <c r="F44" s="52"/>
      <c r="G44" s="52"/>
      <c r="H44" s="52"/>
      <c r="I44" s="52"/>
      <c r="J44" s="52"/>
      <c r="K44" s="52"/>
      <c r="L44" s="52"/>
      <c r="M44" s="52"/>
      <c r="N44" s="52"/>
      <c r="O44" s="52"/>
      <c r="P44" s="52"/>
      <c r="Q44" s="54"/>
      <c r="R44" s="4"/>
    </row>
    <row r="45" spans="1:20" x14ac:dyDescent="0.3">
      <c r="A45" s="4"/>
      <c r="B45" s="4"/>
      <c r="C45" s="4"/>
      <c r="D45" s="4"/>
      <c r="E45" s="4"/>
      <c r="F45" s="4"/>
      <c r="G45" s="4"/>
      <c r="H45" s="4"/>
      <c r="I45" s="4"/>
      <c r="J45" s="4"/>
      <c r="K45" s="4"/>
      <c r="L45" s="4"/>
      <c r="M45" s="4"/>
      <c r="N45" s="4"/>
      <c r="O45" s="4"/>
      <c r="P45" s="4"/>
      <c r="Q45" s="4"/>
      <c r="R45" s="4"/>
    </row>
    <row r="46" spans="1:20" x14ac:dyDescent="0.3">
      <c r="A46" s="4"/>
      <c r="B46" s="75" t="s">
        <v>32</v>
      </c>
      <c r="C46" s="4"/>
      <c r="D46" s="4"/>
      <c r="E46" s="4"/>
      <c r="F46" s="4"/>
      <c r="G46" s="4"/>
      <c r="H46" s="4"/>
      <c r="I46" s="4"/>
      <c r="J46" s="4"/>
      <c r="K46" s="4"/>
      <c r="L46" s="4"/>
      <c r="M46" s="4"/>
      <c r="N46" s="4"/>
      <c r="O46" s="4"/>
      <c r="P46" s="4"/>
      <c r="Q46" s="4"/>
      <c r="R46" s="4"/>
    </row>
    <row r="47" spans="1:20" x14ac:dyDescent="0.3">
      <c r="D47" s="71"/>
    </row>
    <row r="48" spans="1:20" x14ac:dyDescent="0.3">
      <c r="E48" s="71"/>
      <c r="H48" s="71"/>
      <c r="Q48" s="71"/>
    </row>
    <row r="49" spans="3:8" x14ac:dyDescent="0.3">
      <c r="C49" s="76"/>
      <c r="H49" s="71"/>
    </row>
  </sheetData>
  <mergeCells count="5">
    <mergeCell ref="B3:Q3"/>
    <mergeCell ref="B4:Q4"/>
    <mergeCell ref="B5:Q5"/>
    <mergeCell ref="B6:Q6"/>
    <mergeCell ref="B33:Q33"/>
  </mergeCells>
  <printOptions horizontalCentered="1" verticalCentered="1"/>
  <pageMargins left="0.25" right="0.25" top="0.25" bottom="0.25" header="0.511811023622047" footer="0.511811023622047"/>
  <pageSetup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0"/>
  <sheetViews>
    <sheetView workbookViewId="0">
      <selection activeCell="H30" sqref="H30"/>
    </sheetView>
  </sheetViews>
  <sheetFormatPr defaultColWidth="8.28515625" defaultRowHeight="15" x14ac:dyDescent="0.3"/>
  <cols>
    <col min="1" max="1" width="2.140625" style="5" customWidth="1"/>
    <col min="2" max="2" width="5.42578125" style="5" customWidth="1"/>
    <col min="3" max="3" width="34.28515625" style="5" customWidth="1"/>
    <col min="4" max="4" width="8.28515625" style="5" customWidth="1"/>
    <col min="5" max="5" width="9.85546875" style="5" customWidth="1"/>
    <col min="6" max="6" width="10" style="5" customWidth="1"/>
    <col min="7" max="7" width="10.42578125" style="5" customWidth="1"/>
    <col min="8" max="8" width="12" style="5" customWidth="1"/>
    <col min="9" max="9" width="9.85546875" style="5" customWidth="1"/>
    <col min="10" max="10" width="10.85546875" style="5" bestFit="1" customWidth="1"/>
    <col min="11" max="16" width="9.28515625" style="5" customWidth="1"/>
    <col min="17" max="17" width="6.140625" style="5" customWidth="1"/>
    <col min="18" max="18" width="40.28515625" style="5" customWidth="1"/>
    <col min="19" max="21" width="12.28515625" style="5" customWidth="1"/>
    <col min="22" max="22" width="11.42578125" style="5" customWidth="1"/>
    <col min="23" max="23" width="11.28515625" style="5" bestFit="1" customWidth="1"/>
    <col min="24" max="16384" width="8.28515625" style="5"/>
  </cols>
  <sheetData>
    <row r="1" spans="1:16" ht="21" x14ac:dyDescent="0.4">
      <c r="A1" s="4"/>
      <c r="B1" s="2"/>
      <c r="C1" s="4"/>
      <c r="D1" s="4"/>
      <c r="E1" s="4"/>
      <c r="F1" s="4"/>
      <c r="G1" s="4"/>
      <c r="H1" s="4"/>
      <c r="I1" s="4"/>
      <c r="J1" s="4"/>
      <c r="K1" s="4"/>
      <c r="L1" s="4"/>
      <c r="M1" s="4"/>
      <c r="N1" s="4"/>
      <c r="P1" s="77" t="s">
        <v>36</v>
      </c>
    </row>
    <row r="2" spans="1:16" ht="21" x14ac:dyDescent="0.4">
      <c r="A2" s="4"/>
      <c r="B2" s="190" t="s">
        <v>1</v>
      </c>
      <c r="C2" s="190"/>
      <c r="D2" s="190"/>
      <c r="E2" s="190"/>
      <c r="F2" s="190"/>
      <c r="G2" s="190"/>
      <c r="H2" s="190"/>
      <c r="I2" s="190"/>
      <c r="J2" s="190"/>
      <c r="K2" s="190"/>
      <c r="L2" s="190"/>
      <c r="M2" s="190"/>
      <c r="N2" s="190"/>
      <c r="O2" s="190"/>
      <c r="P2" s="190"/>
    </row>
    <row r="3" spans="1:16" ht="18" x14ac:dyDescent="0.35">
      <c r="A3" s="4"/>
      <c r="B3" s="191" t="s">
        <v>37</v>
      </c>
      <c r="C3" s="191"/>
      <c r="D3" s="191"/>
      <c r="E3" s="191"/>
      <c r="F3" s="191"/>
      <c r="G3" s="191"/>
      <c r="H3" s="191"/>
      <c r="I3" s="191"/>
      <c r="J3" s="191"/>
      <c r="K3" s="191"/>
      <c r="L3" s="191"/>
      <c r="M3" s="191"/>
      <c r="N3" s="191"/>
      <c r="O3" s="191"/>
      <c r="P3" s="191"/>
    </row>
    <row r="4" spans="1:16" ht="18" x14ac:dyDescent="0.35">
      <c r="A4" s="4"/>
      <c r="B4" s="191" t="s">
        <v>3</v>
      </c>
      <c r="C4" s="191"/>
      <c r="D4" s="191"/>
      <c r="E4" s="191"/>
      <c r="F4" s="191"/>
      <c r="G4" s="191"/>
      <c r="H4" s="191"/>
      <c r="I4" s="191"/>
      <c r="J4" s="191"/>
      <c r="K4" s="191"/>
      <c r="L4" s="191"/>
      <c r="M4" s="191"/>
      <c r="N4" s="191"/>
      <c r="O4" s="191"/>
      <c r="P4" s="191"/>
    </row>
    <row r="5" spans="1:16" ht="18" x14ac:dyDescent="0.35">
      <c r="A5" s="4"/>
      <c r="B5" s="192" t="s">
        <v>38</v>
      </c>
      <c r="C5" s="192"/>
      <c r="D5" s="192"/>
      <c r="E5" s="192"/>
      <c r="F5" s="192"/>
      <c r="G5" s="192"/>
      <c r="H5" s="192"/>
      <c r="I5" s="192"/>
      <c r="J5" s="192"/>
      <c r="K5" s="192"/>
      <c r="L5" s="192"/>
      <c r="M5" s="192"/>
      <c r="N5" s="192"/>
      <c r="O5" s="192"/>
      <c r="P5" s="192"/>
    </row>
    <row r="6" spans="1:16" ht="18" x14ac:dyDescent="0.35">
      <c r="A6" s="4"/>
      <c r="B6" s="193" t="s">
        <v>39</v>
      </c>
      <c r="C6" s="193"/>
      <c r="D6" s="193"/>
      <c r="E6" s="193"/>
      <c r="F6" s="193"/>
      <c r="G6" s="193"/>
      <c r="H6" s="193"/>
      <c r="I6" s="193"/>
      <c r="J6" s="193"/>
      <c r="K6" s="193"/>
      <c r="L6" s="193"/>
      <c r="M6" s="193"/>
      <c r="N6" s="193"/>
      <c r="O6" s="193"/>
      <c r="P6" s="193"/>
    </row>
    <row r="7" spans="1:16" ht="18" x14ac:dyDescent="0.35">
      <c r="A7" s="4"/>
      <c r="B7" s="78"/>
      <c r="C7" s="79"/>
      <c r="D7" s="79"/>
      <c r="E7" s="79"/>
      <c r="F7" s="79"/>
      <c r="G7" s="79"/>
      <c r="H7" s="80"/>
      <c r="I7" s="81"/>
      <c r="J7" s="79"/>
      <c r="K7" s="79"/>
      <c r="L7" s="79"/>
      <c r="M7" s="79"/>
      <c r="N7" s="4"/>
      <c r="O7" s="4"/>
      <c r="P7" s="4"/>
    </row>
    <row r="8" spans="1:16" x14ac:dyDescent="0.3">
      <c r="A8" s="4"/>
      <c r="B8" s="4"/>
      <c r="C8" s="4"/>
      <c r="E8" s="11">
        <v>1</v>
      </c>
      <c r="F8" s="11">
        <v>2</v>
      </c>
      <c r="G8" s="11">
        <v>3</v>
      </c>
      <c r="H8" s="11">
        <v>4</v>
      </c>
      <c r="I8" s="11">
        <v>5</v>
      </c>
      <c r="J8" s="11">
        <v>6</v>
      </c>
      <c r="K8" s="11">
        <v>7</v>
      </c>
      <c r="L8" s="11">
        <v>8</v>
      </c>
      <c r="M8" s="11">
        <v>9</v>
      </c>
      <c r="N8" s="11">
        <v>10</v>
      </c>
      <c r="O8" s="11">
        <v>11</v>
      </c>
      <c r="P8" s="11">
        <v>12</v>
      </c>
    </row>
    <row r="9" spans="1:16" x14ac:dyDescent="0.3">
      <c r="A9" s="4"/>
      <c r="B9" s="194" t="s">
        <v>5</v>
      </c>
      <c r="C9" s="195" t="s">
        <v>6</v>
      </c>
      <c r="D9" s="82"/>
      <c r="E9" s="82"/>
      <c r="F9" s="82"/>
      <c r="G9" s="82"/>
      <c r="H9" s="83"/>
      <c r="I9" s="83"/>
      <c r="J9" s="83"/>
      <c r="K9" s="83"/>
      <c r="L9" s="83"/>
      <c r="M9" s="83"/>
      <c r="N9" s="83"/>
      <c r="O9" s="83"/>
      <c r="P9" s="83"/>
    </row>
    <row r="10" spans="1:16" x14ac:dyDescent="0.3">
      <c r="A10" s="4"/>
      <c r="B10" s="194"/>
      <c r="C10" s="195"/>
      <c r="D10" s="84"/>
      <c r="E10" s="85">
        <f>[2]CoGS!E1</f>
        <v>44501</v>
      </c>
      <c r="F10" s="85">
        <f>[2]CoGS!F1</f>
        <v>44531</v>
      </c>
      <c r="G10" s="85">
        <f>[2]CoGS!G1</f>
        <v>44562</v>
      </c>
      <c r="H10" s="85">
        <f>[2]CoGS!H1</f>
        <v>44593</v>
      </c>
      <c r="I10" s="85">
        <f>[2]CoGS!I1</f>
        <v>44621</v>
      </c>
      <c r="J10" s="85">
        <f>[2]CoGS!J1</f>
        <v>44652</v>
      </c>
      <c r="K10" s="85">
        <f>[2]CoGS!K1</f>
        <v>44682</v>
      </c>
      <c r="L10" s="85">
        <f>[2]CoGS!L1</f>
        <v>44713</v>
      </c>
      <c r="M10" s="85">
        <f>[2]CoGS!M1</f>
        <v>44743</v>
      </c>
      <c r="N10" s="85">
        <f>[2]CoGS!N1</f>
        <v>44774</v>
      </c>
      <c r="O10" s="85">
        <f>[2]CoGS!O1</f>
        <v>44805</v>
      </c>
      <c r="P10" s="85">
        <f>[2]CoGS!P1</f>
        <v>44835</v>
      </c>
    </row>
    <row r="11" spans="1:16" x14ac:dyDescent="0.3">
      <c r="A11" s="4"/>
      <c r="B11" s="4"/>
      <c r="C11" s="4"/>
      <c r="D11" s="4"/>
      <c r="E11" s="4"/>
      <c r="F11" s="4"/>
      <c r="G11" s="4"/>
      <c r="H11" s="4"/>
      <c r="I11" s="4"/>
      <c r="J11" s="4"/>
      <c r="K11" s="4"/>
      <c r="L11" s="4"/>
      <c r="M11" s="4"/>
      <c r="N11" s="4"/>
      <c r="O11" s="4"/>
      <c r="P11" s="4"/>
    </row>
    <row r="12" spans="1:16" x14ac:dyDescent="0.3">
      <c r="A12" s="4"/>
      <c r="B12" s="11">
        <v>1</v>
      </c>
      <c r="C12" s="4" t="s">
        <v>40</v>
      </c>
      <c r="D12" s="86"/>
      <c r="E12" s="86">
        <f>[2]CoGS!E33</f>
        <v>4.2140000000000004</v>
      </c>
      <c r="F12" s="86">
        <f>[2]CoGS!F33</f>
        <v>4.2140000000000004</v>
      </c>
      <c r="G12" s="86">
        <f>[2]CoGS!G33</f>
        <v>4.2140000000000004</v>
      </c>
      <c r="H12" s="86">
        <f>[2]CoGS!H33</f>
        <v>4.2140000000000004</v>
      </c>
      <c r="I12" s="86">
        <f>[2]CoGS!I33</f>
        <v>4.2140000000000004</v>
      </c>
      <c r="J12" s="86">
        <f>[2]CoGS!J33</f>
        <v>3.2949999999999999</v>
      </c>
      <c r="K12" s="86">
        <f>[2]CoGS!K33</f>
        <v>3.2949999999999999</v>
      </c>
      <c r="L12" s="86">
        <f>[2]CoGS!L33</f>
        <v>3.2949999999999999</v>
      </c>
      <c r="M12" s="86">
        <f>[2]CoGS!M33</f>
        <v>3.2949999999999999</v>
      </c>
      <c r="N12" s="86">
        <f>[2]CoGS!N33</f>
        <v>3.2949999999999999</v>
      </c>
      <c r="O12" s="86">
        <f>[2]CoGS!O33</f>
        <v>3.2949999999999999</v>
      </c>
      <c r="P12" s="86">
        <f>[2]CoGS!P33</f>
        <v>3.2949999999999999</v>
      </c>
    </row>
    <row r="13" spans="1:16" ht="21" customHeight="1" x14ac:dyDescent="0.3">
      <c r="A13" s="4"/>
      <c r="B13" s="11"/>
      <c r="C13" s="87" t="s">
        <v>41</v>
      </c>
      <c r="D13" s="86"/>
      <c r="E13" s="86"/>
      <c r="F13" s="86"/>
      <c r="G13" s="86"/>
      <c r="H13" s="86"/>
      <c r="I13" s="86"/>
      <c r="J13" s="86"/>
      <c r="K13" s="86"/>
      <c r="L13" s="86"/>
      <c r="M13" s="86"/>
      <c r="N13" s="86"/>
      <c r="O13" s="86"/>
      <c r="P13" s="86"/>
    </row>
    <row r="14" spans="1:16" x14ac:dyDescent="0.3">
      <c r="A14" s="4"/>
      <c r="B14" s="11">
        <v>2</v>
      </c>
      <c r="C14" s="4" t="s">
        <v>42</v>
      </c>
      <c r="D14" s="88"/>
      <c r="E14" s="88">
        <f>[2]CoGS!E55</f>
        <v>3.0532173843953601</v>
      </c>
      <c r="F14" s="88">
        <f>[2]CoGS!F55</f>
        <v>3.0532173843953601</v>
      </c>
      <c r="G14" s="88">
        <f>[2]CoGS!G55</f>
        <v>3.0532173843953601</v>
      </c>
      <c r="H14" s="88">
        <f>[2]CoGS!H55</f>
        <v>3.0532173843953601</v>
      </c>
      <c r="I14" s="88">
        <f>[2]CoGS!I55</f>
        <v>3.0532173843953601</v>
      </c>
      <c r="J14" s="88">
        <f>[2]CoGS!J55</f>
        <v>2.65123412779249</v>
      </c>
      <c r="K14" s="88">
        <f>[2]CoGS!K55</f>
        <v>2.65123412779249</v>
      </c>
      <c r="L14" s="88">
        <f>[2]CoGS!L55</f>
        <v>2.65123412779249</v>
      </c>
      <c r="M14" s="88">
        <f>[2]CoGS!M55</f>
        <v>2.65123412779249</v>
      </c>
      <c r="N14" s="88">
        <f>[2]CoGS!N55</f>
        <v>2.65123412779249</v>
      </c>
      <c r="O14" s="88">
        <f>[2]CoGS!O55</f>
        <v>2.65123412779249</v>
      </c>
      <c r="P14" s="88">
        <f>[2]CoGS!P55</f>
        <v>2.6511714530499817</v>
      </c>
    </row>
    <row r="15" spans="1:16" x14ac:dyDescent="0.3">
      <c r="A15" s="4"/>
      <c r="B15" s="11">
        <v>3</v>
      </c>
      <c r="C15" s="4" t="s">
        <v>43</v>
      </c>
      <c r="D15" s="89"/>
      <c r="E15" s="89">
        <f>-[2]CoGS!E133</f>
        <v>-0.78673417721519012</v>
      </c>
      <c r="F15" s="89">
        <f>-[2]CoGS!F133</f>
        <v>-0.78673417721519012</v>
      </c>
      <c r="G15" s="89">
        <f>-[2]CoGS!G133</f>
        <v>-0.78673417721519012</v>
      </c>
      <c r="H15" s="89">
        <f>-[2]CoGS!H133</f>
        <v>-0.78673417721519012</v>
      </c>
      <c r="I15" s="89">
        <f>-[2]CoGS!I133</f>
        <v>-0.78673417721519012</v>
      </c>
      <c r="J15" s="89">
        <f>-[2]CoGS!J133</f>
        <v>0</v>
      </c>
      <c r="K15" s="89">
        <f>-[2]CoGS!K133</f>
        <v>0</v>
      </c>
      <c r="L15" s="89">
        <f>-[2]CoGS!L133</f>
        <v>0</v>
      </c>
      <c r="M15" s="89">
        <f>-[2]CoGS!M133</f>
        <v>0</v>
      </c>
      <c r="N15" s="89">
        <f>-[2]CoGS!N133</f>
        <v>0</v>
      </c>
      <c r="O15" s="89">
        <f>-[2]CoGS!O133</f>
        <v>0</v>
      </c>
      <c r="P15" s="89">
        <f>-[2]CoGS!P133</f>
        <v>0</v>
      </c>
    </row>
    <row r="16" spans="1:16" x14ac:dyDescent="0.3">
      <c r="A16" s="4"/>
      <c r="B16" s="11">
        <v>4</v>
      </c>
      <c r="C16" s="4" t="s">
        <v>44</v>
      </c>
      <c r="D16" s="88"/>
      <c r="E16" s="88">
        <f>[2]CoGS!E143/([2]CoGS!E17)</f>
        <v>0.49858573017638647</v>
      </c>
      <c r="F16" s="88">
        <f>[2]CoGS!F143/([2]CoGS!F17)</f>
        <v>0.49858573017638647</v>
      </c>
      <c r="G16" s="88">
        <f>[2]CoGS!G143/([2]CoGS!G17)</f>
        <v>0.49858573017638647</v>
      </c>
      <c r="H16" s="88">
        <f>[2]CoGS!H143/([2]CoGS!H17)</f>
        <v>0.49858573017638647</v>
      </c>
      <c r="I16" s="88">
        <f>[2]CoGS!I143/([2]CoGS!I17)</f>
        <v>0.49858573017638647</v>
      </c>
      <c r="J16" s="88">
        <f>[2]CoGS!J143/([2]CoGS!J17)</f>
        <v>0.53262714741631023</v>
      </c>
      <c r="K16" s="88">
        <f>[2]CoGS!K143/([2]CoGS!K17)</f>
        <v>0.53262714741631023</v>
      </c>
      <c r="L16" s="88">
        <f>[2]CoGS!L143/([2]CoGS!L17)</f>
        <v>0.53262714741631023</v>
      </c>
      <c r="M16" s="88">
        <f>[2]CoGS!M143/([2]CoGS!M17)</f>
        <v>0.53262714741631023</v>
      </c>
      <c r="N16" s="88">
        <f>[2]CoGS!N143/([2]CoGS!N17)</f>
        <v>0.53262714741631023</v>
      </c>
      <c r="O16" s="88">
        <f>[2]CoGS!O143/([2]CoGS!O17)</f>
        <v>0.53262714741631023</v>
      </c>
      <c r="P16" s="88">
        <f>[2]CoGS!P143/([2]CoGS!P17)</f>
        <v>0.53267860244923848</v>
      </c>
    </row>
    <row r="17" spans="1:39" x14ac:dyDescent="0.3">
      <c r="A17" s="4"/>
      <c r="B17" s="11">
        <v>5</v>
      </c>
      <c r="C17" s="4" t="s">
        <v>45</v>
      </c>
      <c r="D17" s="88"/>
      <c r="E17" s="88">
        <f>E14+E15+E16</f>
        <v>2.7650689373565562</v>
      </c>
      <c r="F17" s="88">
        <f t="shared" ref="F17:P17" si="0">F14+F15+F16</f>
        <v>2.7650689373565562</v>
      </c>
      <c r="G17" s="88">
        <f t="shared" si="0"/>
        <v>2.7650689373565562</v>
      </c>
      <c r="H17" s="88">
        <f t="shared" si="0"/>
        <v>2.7650689373565562</v>
      </c>
      <c r="I17" s="88">
        <f t="shared" si="0"/>
        <v>2.7650689373565562</v>
      </c>
      <c r="J17" s="88">
        <f t="shared" si="0"/>
        <v>3.1838612752088</v>
      </c>
      <c r="K17" s="88">
        <f t="shared" si="0"/>
        <v>3.1838612752088</v>
      </c>
      <c r="L17" s="88">
        <f t="shared" si="0"/>
        <v>3.1838612752088</v>
      </c>
      <c r="M17" s="88">
        <f t="shared" si="0"/>
        <v>3.1838612752088</v>
      </c>
      <c r="N17" s="88">
        <f t="shared" si="0"/>
        <v>3.1838612752088</v>
      </c>
      <c r="O17" s="88">
        <f t="shared" si="0"/>
        <v>3.1838612752088</v>
      </c>
      <c r="P17" s="88">
        <f t="shared" si="0"/>
        <v>3.18385005549922</v>
      </c>
    </row>
    <row r="18" spans="1:39" x14ac:dyDescent="0.3">
      <c r="A18" s="4"/>
      <c r="B18" s="11">
        <v>6</v>
      </c>
      <c r="C18" s="4" t="s">
        <v>46</v>
      </c>
      <c r="D18" s="88"/>
      <c r="E18" s="88">
        <f>[2]CoGS!E146</f>
        <v>2.7917665433541079</v>
      </c>
      <c r="F18" s="88">
        <f>[2]CoGS!F146</f>
        <v>2.7917665433541083</v>
      </c>
      <c r="G18" s="88">
        <f>[2]CoGS!G146</f>
        <v>2.7917665433541083</v>
      </c>
      <c r="H18" s="88">
        <f>[2]CoGS!H146</f>
        <v>2.7917665433541079</v>
      </c>
      <c r="I18" s="88">
        <f>[2]CoGS!I146</f>
        <v>2.7917665433541083</v>
      </c>
      <c r="J18" s="88">
        <f>[2]CoGS!J146</f>
        <v>3.2055515865826689</v>
      </c>
      <c r="K18" s="88">
        <f>[2]CoGS!K146</f>
        <v>3.2055515865826689</v>
      </c>
      <c r="L18" s="88">
        <f>[2]CoGS!L146</f>
        <v>3.2055515865826689</v>
      </c>
      <c r="M18" s="88">
        <f>[2]CoGS!M146</f>
        <v>3.2055515865826689</v>
      </c>
      <c r="N18" s="88">
        <f>[2]CoGS!N146</f>
        <v>3.2055515865826689</v>
      </c>
      <c r="O18" s="88">
        <f>[2]CoGS!O146</f>
        <v>3.2055515865826689</v>
      </c>
      <c r="P18" s="88">
        <f>[2]CoGS!P146</f>
        <v>3.2055424001235102</v>
      </c>
    </row>
    <row r="19" spans="1:39" x14ac:dyDescent="0.3">
      <c r="A19" s="4"/>
      <c r="B19" s="11"/>
      <c r="C19" s="4"/>
      <c r="D19" s="88"/>
      <c r="E19" s="88"/>
      <c r="F19" s="88"/>
      <c r="G19" s="88"/>
      <c r="H19" s="88"/>
      <c r="I19" s="88"/>
      <c r="J19" s="88"/>
      <c r="K19" s="88"/>
      <c r="L19" s="88"/>
      <c r="M19" s="88"/>
      <c r="N19" s="88"/>
      <c r="O19" s="88"/>
      <c r="P19" s="88"/>
      <c r="R19" s="90" t="s">
        <v>47</v>
      </c>
      <c r="S19" s="91">
        <f>E10</f>
        <v>44501</v>
      </c>
      <c r="T19" s="91">
        <f>F10</f>
        <v>44531</v>
      </c>
      <c r="U19" s="91">
        <f>G10</f>
        <v>44562</v>
      </c>
      <c r="V19" s="91">
        <f>H10</f>
        <v>44593</v>
      </c>
      <c r="W19" s="91">
        <f>I10</f>
        <v>44621</v>
      </c>
    </row>
    <row r="20" spans="1:39" x14ac:dyDescent="0.3">
      <c r="A20" s="4"/>
      <c r="B20" s="11"/>
      <c r="C20" s="87" t="s">
        <v>48</v>
      </c>
      <c r="D20" s="88"/>
      <c r="E20" s="88"/>
      <c r="F20" s="88"/>
      <c r="G20" s="88"/>
      <c r="H20" s="88"/>
      <c r="I20" s="88"/>
      <c r="J20" s="88"/>
      <c r="K20" s="88"/>
      <c r="L20" s="88"/>
      <c r="M20" s="88"/>
      <c r="N20" s="88"/>
      <c r="O20" s="88"/>
      <c r="P20" s="88"/>
      <c r="R20" s="90"/>
      <c r="S20" s="91"/>
      <c r="T20" s="91"/>
      <c r="U20" s="91"/>
      <c r="V20" s="91"/>
      <c r="W20" s="91"/>
    </row>
    <row r="21" spans="1:39" x14ac:dyDescent="0.3">
      <c r="A21" s="4"/>
      <c r="B21" s="11">
        <v>7</v>
      </c>
      <c r="C21" s="4" t="s">
        <v>49</v>
      </c>
      <c r="D21" s="88"/>
      <c r="E21" s="88">
        <f t="shared" ref="E21:P21" si="1">E18</f>
        <v>2.7917665433541079</v>
      </c>
      <c r="F21" s="88">
        <f t="shared" si="1"/>
        <v>2.7917665433541083</v>
      </c>
      <c r="G21" s="88">
        <f t="shared" si="1"/>
        <v>2.7917665433541083</v>
      </c>
      <c r="H21" s="88">
        <f t="shared" si="1"/>
        <v>2.7917665433541079</v>
      </c>
      <c r="I21" s="88">
        <f t="shared" si="1"/>
        <v>2.7917665433541083</v>
      </c>
      <c r="J21" s="88">
        <f t="shared" si="1"/>
        <v>3.2055515865826689</v>
      </c>
      <c r="K21" s="88">
        <f t="shared" si="1"/>
        <v>3.2055515865826689</v>
      </c>
      <c r="L21" s="88">
        <f t="shared" si="1"/>
        <v>3.2055515865826689</v>
      </c>
      <c r="M21" s="88">
        <f t="shared" si="1"/>
        <v>3.2055515865826689</v>
      </c>
      <c r="N21" s="88">
        <f t="shared" si="1"/>
        <v>3.2055515865826689</v>
      </c>
      <c r="O21" s="88">
        <f t="shared" si="1"/>
        <v>3.2055515865826689</v>
      </c>
      <c r="P21" s="88">
        <f t="shared" si="1"/>
        <v>3.2055424001235102</v>
      </c>
      <c r="R21" s="90"/>
      <c r="S21" s="91"/>
      <c r="T21" s="91"/>
      <c r="U21" s="91"/>
      <c r="V21" s="91"/>
      <c r="W21" s="91"/>
    </row>
    <row r="22" spans="1:39" x14ac:dyDescent="0.3">
      <c r="A22" s="4"/>
      <c r="B22" s="11">
        <v>8</v>
      </c>
      <c r="C22" s="4" t="s">
        <v>50</v>
      </c>
      <c r="D22" s="92"/>
      <c r="E22" s="92">
        <f t="shared" ref="E22:P22" si="2">1-E24</f>
        <v>0.70960995424897866</v>
      </c>
      <c r="F22" s="92">
        <f t="shared" si="2"/>
        <v>0.52892122270480413</v>
      </c>
      <c r="G22" s="92">
        <f t="shared" si="2"/>
        <v>0.49102117318418093</v>
      </c>
      <c r="H22" s="92">
        <f t="shared" si="2"/>
        <v>0.53528330651350975</v>
      </c>
      <c r="I22" s="92">
        <f t="shared" si="2"/>
        <v>0.72234456854859341</v>
      </c>
      <c r="J22" s="92">
        <f t="shared" si="2"/>
        <v>1</v>
      </c>
      <c r="K22" s="92">
        <f t="shared" si="2"/>
        <v>1</v>
      </c>
      <c r="L22" s="92">
        <f t="shared" si="2"/>
        <v>1</v>
      </c>
      <c r="M22" s="92">
        <f t="shared" si="2"/>
        <v>1</v>
      </c>
      <c r="N22" s="92">
        <f t="shared" si="2"/>
        <v>1</v>
      </c>
      <c r="O22" s="92">
        <f t="shared" si="2"/>
        <v>1</v>
      </c>
      <c r="P22" s="92">
        <f t="shared" si="2"/>
        <v>1</v>
      </c>
      <c r="R22" s="90"/>
      <c r="S22" s="91"/>
      <c r="T22" s="91"/>
      <c r="U22" s="91"/>
      <c r="V22" s="91"/>
      <c r="W22" s="91"/>
    </row>
    <row r="23" spans="1:39" x14ac:dyDescent="0.3">
      <c r="A23" s="4"/>
      <c r="B23" s="11">
        <v>9</v>
      </c>
      <c r="C23" s="4" t="s">
        <v>51</v>
      </c>
      <c r="D23" s="89"/>
      <c r="E23" s="89">
        <f>[2]CoGS!E150</f>
        <v>3.3239471090716015</v>
      </c>
      <c r="F23" s="89">
        <f>[2]CoGS!F150</f>
        <v>3.3239471090716011</v>
      </c>
      <c r="G23" s="89">
        <f>[2]CoGS!G150</f>
        <v>3.3239471090716011</v>
      </c>
      <c r="H23" s="89">
        <f>[2]CoGS!H150</f>
        <v>3.3239471090715997</v>
      </c>
      <c r="I23" s="89">
        <f>[2]CoGS!I150</f>
        <v>3.3239471090715971</v>
      </c>
      <c r="J23" s="89">
        <f>[2]CoGS!J150</f>
        <v>3.2786278340430264</v>
      </c>
      <c r="K23" s="89">
        <f>[2]CoGS!K150</f>
        <v>3.2365306286630706</v>
      </c>
      <c r="L23" s="89">
        <f>[2]CoGS!L150</f>
        <v>3.2248250571610946</v>
      </c>
      <c r="M23" s="89">
        <f>[2]CoGS!M150</f>
        <v>3.218560247522134</v>
      </c>
      <c r="N23" s="89">
        <f>[2]CoGS!N150</f>
        <v>3.2153639811238954</v>
      </c>
      <c r="O23" s="89">
        <f>[2]CoGS!O150</f>
        <v>3.2138240440732599</v>
      </c>
      <c r="P23" s="89">
        <f>[2]CoGS!P150</f>
        <v>3.2135014077119051</v>
      </c>
      <c r="R23" s="5" t="s">
        <v>52</v>
      </c>
      <c r="S23" s="71">
        <f>'[2] Schedule 1.0 Forecast COGS -A '!D39</f>
        <v>4691.0550000000003</v>
      </c>
      <c r="T23" s="71">
        <f>'[2] Schedule 1.0 Forecast COGS -A '!E39</f>
        <v>4847.4234999999999</v>
      </c>
      <c r="U23" s="71">
        <f>'[2] Schedule 1.0 Forecast COGS -A '!F39</f>
        <v>4847.4234999999999</v>
      </c>
      <c r="V23" s="71">
        <f>'[2] Schedule 1.0 Forecast COGS -A '!G39</f>
        <v>4378.3180000000002</v>
      </c>
      <c r="W23" s="71">
        <f>'[2] Schedule 1.0 Forecast COGS -A '!H39</f>
        <v>4847.4234999999999</v>
      </c>
    </row>
    <row r="24" spans="1:39" x14ac:dyDescent="0.3">
      <c r="A24" s="4"/>
      <c r="B24" s="11">
        <v>10</v>
      </c>
      <c r="C24" s="4" t="s">
        <v>53</v>
      </c>
      <c r="D24" s="92"/>
      <c r="E24" s="92">
        <f>[2]CoGS!E7/[2]CoGS!E20</f>
        <v>0.29039004575102134</v>
      </c>
      <c r="F24" s="92">
        <f>[2]CoGS!F7/[2]CoGS!F20</f>
        <v>0.47107877729519593</v>
      </c>
      <c r="G24" s="92">
        <f>[2]CoGS!G7/[2]CoGS!G20</f>
        <v>0.50897882681581907</v>
      </c>
      <c r="H24" s="92">
        <f>[2]CoGS!H7/[2]CoGS!H20</f>
        <v>0.46471669348649025</v>
      </c>
      <c r="I24" s="92">
        <f>[2]CoGS!I7/[2]CoGS!I20</f>
        <v>0.27765543145140653</v>
      </c>
      <c r="J24" s="92">
        <v>0</v>
      </c>
      <c r="K24" s="92">
        <v>0</v>
      </c>
      <c r="L24" s="92">
        <v>0</v>
      </c>
      <c r="M24" s="92">
        <v>0</v>
      </c>
      <c r="N24" s="92">
        <v>0</v>
      </c>
      <c r="O24" s="92">
        <v>0</v>
      </c>
      <c r="P24" s="92">
        <v>0</v>
      </c>
      <c r="S24" s="71"/>
      <c r="T24" s="71"/>
      <c r="U24" s="71"/>
      <c r="V24" s="71"/>
      <c r="W24" s="71"/>
    </row>
    <row r="25" spans="1:39" x14ac:dyDescent="0.3">
      <c r="A25" s="4"/>
      <c r="B25" s="11">
        <v>11</v>
      </c>
      <c r="C25" s="4" t="s">
        <v>54</v>
      </c>
      <c r="D25" s="89"/>
      <c r="E25" s="89">
        <f>(E21*E22)+(E23*E24)</f>
        <v>2.9463064821806153</v>
      </c>
      <c r="F25" s="89">
        <f>(F21*F22)+(F23*F24)</f>
        <v>3.0424655135525702</v>
      </c>
      <c r="G25" s="89">
        <f>(G21*G22)+(G23*G24)</f>
        <v>3.0626351833471768</v>
      </c>
      <c r="H25" s="89">
        <f>(H21*H22)+(H23*H24)</f>
        <v>3.0390797361921105</v>
      </c>
      <c r="I25" s="89">
        <f>(I21*I22)+(I23*I24)</f>
        <v>2.9395293679384511</v>
      </c>
      <c r="J25" s="88">
        <f t="shared" ref="J25:P25" si="3">J21</f>
        <v>3.2055515865826689</v>
      </c>
      <c r="K25" s="88">
        <f t="shared" si="3"/>
        <v>3.2055515865826689</v>
      </c>
      <c r="L25" s="88">
        <f t="shared" si="3"/>
        <v>3.2055515865826689</v>
      </c>
      <c r="M25" s="88">
        <f t="shared" si="3"/>
        <v>3.2055515865826689</v>
      </c>
      <c r="N25" s="88">
        <f t="shared" si="3"/>
        <v>3.2055515865826689</v>
      </c>
      <c r="O25" s="88">
        <f t="shared" si="3"/>
        <v>3.2055515865826689</v>
      </c>
      <c r="P25" s="88">
        <f t="shared" si="3"/>
        <v>3.2055424001235102</v>
      </c>
      <c r="S25" s="71"/>
      <c r="T25" s="71"/>
      <c r="U25" s="71"/>
      <c r="V25" s="71"/>
      <c r="W25" s="71"/>
    </row>
    <row r="26" spans="1:39" x14ac:dyDescent="0.3">
      <c r="A26" s="4"/>
      <c r="B26" s="11"/>
      <c r="C26" s="4"/>
      <c r="D26" s="89"/>
      <c r="E26" s="89"/>
      <c r="F26" s="89"/>
      <c r="G26" s="89"/>
      <c r="H26" s="89"/>
      <c r="I26" s="89"/>
      <c r="J26" s="88"/>
      <c r="K26" s="88"/>
      <c r="L26" s="88"/>
      <c r="M26" s="88"/>
      <c r="N26" s="88"/>
      <c r="O26" s="88"/>
      <c r="P26" s="88"/>
      <c r="S26" s="71"/>
      <c r="T26" s="71"/>
      <c r="U26" s="71"/>
      <c r="V26" s="71"/>
      <c r="W26" s="71"/>
    </row>
    <row r="27" spans="1:39" x14ac:dyDescent="0.3">
      <c r="A27" s="4"/>
      <c r="B27" s="11">
        <v>12</v>
      </c>
      <c r="C27" s="4" t="s">
        <v>55</v>
      </c>
      <c r="D27" s="88"/>
      <c r="E27" s="88">
        <f>([2]CoGS!E152+[2]CoGS!E153+[2]CoGS!E154)/('[2] Sch 1.0 COGS (21 Rate App)'!E37*1000)</f>
        <v>3.6689693775501755E-2</v>
      </c>
      <c r="F27" s="88">
        <f>([2]CoGS!F152+[2]CoGS!F153+[2]CoGS!F154)/('[2] Sch 1.0 COGS (21 Rate App)'!F37*1000)</f>
        <v>4.027202679002323E-2</v>
      </c>
      <c r="G27" s="88">
        <f>([2]CoGS!G152+[2]CoGS!G153+[2]CoGS!G154)/('[2] Sch 1.0 COGS (21 Rate App)'!G37*1000)</f>
        <v>3.668368448133616E-2</v>
      </c>
      <c r="H27" s="88">
        <f>([2]CoGS!H152+[2]CoGS!H153+[2]CoGS!H154)/('[2] Sch 1.0 COGS (21 Rate App)'!H37*1000)</f>
        <v>2.9445671571671189E-2</v>
      </c>
      <c r="I27" s="88">
        <f>([2]CoGS!I152+[2]CoGS!I153+[2]CoGS!I154)/('[2] Sch 1.0 COGS (21 Rate App)'!I37*1000)</f>
        <v>2.2139875515297714E-2</v>
      </c>
      <c r="J27" s="88">
        <f>([2]CoGS!J152+[2]CoGS!J153+[2]CoGS!J154)/('[2] Sch 1.0 COGS (21 Rate App)'!J37*1000)</f>
        <v>1.7010164286785753E-2</v>
      </c>
      <c r="K27" s="88">
        <f>([2]CoGS!K152+[2]CoGS!K153+[2]CoGS!K154)/('[2] Sch 1.0 COGS (21 Rate App)'!K37*1000)</f>
        <v>1.4291344559524067E-2</v>
      </c>
      <c r="L27" s="88">
        <f>([2]CoGS!L152+[2]CoGS!L153+[2]CoGS!L154)/('[2] Sch 1.0 COGS (21 Rate App)'!L37*1000)</f>
        <v>1.7720699159180845E-2</v>
      </c>
      <c r="M27" s="88">
        <f>([2]CoGS!M152+[2]CoGS!M153+[2]CoGS!M154)/('[2] Sch 1.0 COGS (21 Rate App)'!M37*1000)</f>
        <v>1.8211416316584836E-2</v>
      </c>
      <c r="N27" s="88">
        <f>([2]CoGS!N152+[2]CoGS!N153+[2]CoGS!N154)/('[2] Sch 1.0 COGS (21 Rate App)'!N37*1000)</f>
        <v>2.0075767702120124E-2</v>
      </c>
      <c r="O27" s="88">
        <f>([2]CoGS!O152+[2]CoGS!O153+[2]CoGS!O154)/('[2] Sch 1.0 COGS (21 Rate App)'!O37*1000)</f>
        <v>2.4146639266045791E-2</v>
      </c>
      <c r="P27" s="88">
        <f>([2]CoGS!P152+[2]CoGS!P153+[2]CoGS!P154)/('[2] Sch 1.0 COGS (21 Rate App)'!P37*1000)</f>
        <v>3.0286981569464723E-2</v>
      </c>
      <c r="R27" s="5" t="s">
        <v>49</v>
      </c>
      <c r="S27" s="93">
        <f>' Sch 1.1 Prices Page 1'!E18</f>
        <v>2.7917665433541079</v>
      </c>
      <c r="T27" s="93">
        <f>' Sch 1.1 Prices Page 1'!F18</f>
        <v>2.7917665433541083</v>
      </c>
      <c r="U27" s="93">
        <f>' Sch 1.1 Prices Page 1'!G18</f>
        <v>2.7917665433541083</v>
      </c>
      <c r="V27" s="93">
        <f>' Sch 1.1 Prices Page 1'!H18</f>
        <v>2.7917665433541079</v>
      </c>
      <c r="W27" s="93">
        <f>' Sch 1.1 Prices Page 1'!I18</f>
        <v>2.7917665433541083</v>
      </c>
    </row>
    <row r="28" spans="1:39" x14ac:dyDescent="0.3">
      <c r="A28" s="4"/>
      <c r="B28" s="11"/>
      <c r="C28" s="4" t="s">
        <v>56</v>
      </c>
      <c r="D28" s="88"/>
      <c r="E28" s="88"/>
      <c r="F28" s="88"/>
      <c r="G28" s="88"/>
      <c r="H28" s="88"/>
      <c r="I28" s="88"/>
      <c r="J28" s="88"/>
      <c r="K28" s="88"/>
      <c r="L28" s="88"/>
      <c r="M28" s="88"/>
      <c r="N28" s="88"/>
      <c r="O28" s="88"/>
      <c r="P28" s="88"/>
      <c r="R28" s="5" t="s">
        <v>57</v>
      </c>
      <c r="S28" s="71">
        <f>'[2] Schedule 1.0 Forecast COGS -A '!D41</f>
        <v>1892.9199999999998</v>
      </c>
      <c r="T28" s="71">
        <f>'[2] Schedule 1.0 Forecast COGS -A '!E41</f>
        <v>4240.6170000000002</v>
      </c>
      <c r="U28" s="71">
        <f>'[2] Schedule 1.0 Forecast COGS -A '!F41</f>
        <v>4911.5079999999998</v>
      </c>
      <c r="V28" s="71">
        <f>'[2] Schedule 1.0 Forecast COGS -A '!G41</f>
        <v>3710.3650000000002</v>
      </c>
      <c r="W28" s="71">
        <f>'[2] Schedule 1.0 Forecast COGS -A '!H41</f>
        <v>1814.7179999999998</v>
      </c>
    </row>
    <row r="29" spans="1:39" ht="25.5" customHeight="1" x14ac:dyDescent="0.3">
      <c r="A29" s="4"/>
      <c r="B29" s="11">
        <v>13</v>
      </c>
      <c r="C29" s="4" t="s">
        <v>58</v>
      </c>
      <c r="D29" s="94"/>
      <c r="E29" s="94">
        <f>E25+E27</f>
        <v>2.9829961759561172</v>
      </c>
      <c r="F29" s="94">
        <f t="shared" ref="F29:P29" si="4">F25+F27</f>
        <v>3.0827375403425936</v>
      </c>
      <c r="G29" s="94">
        <f t="shared" si="4"/>
        <v>3.0993188678285128</v>
      </c>
      <c r="H29" s="94">
        <f t="shared" si="4"/>
        <v>3.0685254077637816</v>
      </c>
      <c r="I29" s="94">
        <f t="shared" si="4"/>
        <v>2.9616692434537488</v>
      </c>
      <c r="J29" s="94">
        <f t="shared" si="4"/>
        <v>3.2225617508694548</v>
      </c>
      <c r="K29" s="94">
        <f t="shared" si="4"/>
        <v>3.219842931142193</v>
      </c>
      <c r="L29" s="94">
        <f t="shared" si="4"/>
        <v>3.2232722857418499</v>
      </c>
      <c r="M29" s="94">
        <f t="shared" si="4"/>
        <v>3.2237630028992537</v>
      </c>
      <c r="N29" s="94">
        <f t="shared" si="4"/>
        <v>3.2256273542847889</v>
      </c>
      <c r="O29" s="94">
        <f t="shared" si="4"/>
        <v>3.2296982258487148</v>
      </c>
      <c r="P29" s="94">
        <f t="shared" si="4"/>
        <v>3.2358293816929748</v>
      </c>
      <c r="R29" s="5" t="s">
        <v>59</v>
      </c>
      <c r="S29" s="95">
        <f>'[2] Schedule 1.0 Forecast COGS -A '!D42</f>
        <v>3.3239471090716015</v>
      </c>
      <c r="T29" s="95">
        <f>'[2] Schedule 1.0 Forecast COGS -A '!E42</f>
        <v>3.3239471090716015</v>
      </c>
      <c r="U29" s="95">
        <f>'[2] Schedule 1.0 Forecast COGS -A '!F42</f>
        <v>3.3239471090716015</v>
      </c>
      <c r="V29" s="95">
        <f>'[2] Schedule 1.0 Forecast COGS -A '!G42</f>
        <v>3.3239471090716015</v>
      </c>
      <c r="W29" s="95">
        <f>'[2] Schedule 1.0 Forecast COGS -A '!H42</f>
        <v>3.3239471090716015</v>
      </c>
    </row>
    <row r="30" spans="1:39" x14ac:dyDescent="0.3">
      <c r="A30" s="4"/>
      <c r="B30" s="11"/>
      <c r="C30" s="4"/>
      <c r="D30" s="4"/>
      <c r="E30" s="96"/>
      <c r="F30" s="96"/>
      <c r="G30" s="96"/>
      <c r="H30" s="96"/>
      <c r="I30" s="96"/>
      <c r="J30" s="96"/>
      <c r="K30" s="96"/>
      <c r="L30" s="96"/>
      <c r="M30" s="96"/>
      <c r="N30" s="96"/>
      <c r="O30" s="96"/>
      <c r="P30" s="96"/>
      <c r="Q30" s="97">
        <f t="shared" ref="Q30:AM30" si="5">Q25+Q27</f>
        <v>0</v>
      </c>
      <c r="R30" s="97" t="e">
        <f t="shared" si="5"/>
        <v>#VALUE!</v>
      </c>
      <c r="S30" s="97">
        <f t="shared" si="5"/>
        <v>2.7917665433541079</v>
      </c>
      <c r="T30" s="97">
        <f t="shared" si="5"/>
        <v>2.7917665433541083</v>
      </c>
      <c r="U30" s="97">
        <f t="shared" si="5"/>
        <v>2.7917665433541083</v>
      </c>
      <c r="V30" s="97">
        <f t="shared" si="5"/>
        <v>2.7917665433541079</v>
      </c>
      <c r="W30" s="97">
        <f t="shared" si="5"/>
        <v>2.7917665433541083</v>
      </c>
      <c r="X30" s="97">
        <f t="shared" si="5"/>
        <v>0</v>
      </c>
      <c r="Y30" s="97">
        <f t="shared" si="5"/>
        <v>0</v>
      </c>
      <c r="Z30" s="97">
        <f t="shared" si="5"/>
        <v>0</v>
      </c>
      <c r="AA30" s="97">
        <f t="shared" si="5"/>
        <v>0</v>
      </c>
      <c r="AB30" s="97">
        <f t="shared" si="5"/>
        <v>0</v>
      </c>
      <c r="AC30" s="97">
        <f t="shared" si="5"/>
        <v>0</v>
      </c>
      <c r="AD30" s="97">
        <f t="shared" si="5"/>
        <v>0</v>
      </c>
      <c r="AE30" s="97">
        <f t="shared" si="5"/>
        <v>0</v>
      </c>
      <c r="AF30" s="97">
        <f t="shared" si="5"/>
        <v>0</v>
      </c>
      <c r="AG30" s="97">
        <f t="shared" si="5"/>
        <v>0</v>
      </c>
      <c r="AH30" s="97">
        <f t="shared" si="5"/>
        <v>0</v>
      </c>
      <c r="AI30" s="97">
        <f t="shared" si="5"/>
        <v>0</v>
      </c>
      <c r="AJ30" s="97">
        <f t="shared" si="5"/>
        <v>0</v>
      </c>
      <c r="AK30" s="97">
        <f t="shared" si="5"/>
        <v>0</v>
      </c>
      <c r="AL30" s="97">
        <f t="shared" si="5"/>
        <v>0</v>
      </c>
      <c r="AM30" s="97">
        <f t="shared" si="5"/>
        <v>0</v>
      </c>
    </row>
    <row r="31" spans="1:39" x14ac:dyDescent="0.3">
      <c r="A31" s="4"/>
      <c r="B31" s="11"/>
      <c r="C31" s="4"/>
      <c r="D31" s="4"/>
      <c r="E31" s="88"/>
      <c r="F31" s="88"/>
      <c r="G31" s="88"/>
      <c r="H31" s="88"/>
      <c r="I31" s="4"/>
      <c r="J31" s="4"/>
      <c r="K31" s="4"/>
      <c r="L31" s="4"/>
      <c r="M31" s="88"/>
      <c r="N31" s="88"/>
      <c r="O31" s="88"/>
      <c r="P31" s="88"/>
      <c r="R31" s="5" t="s">
        <v>60</v>
      </c>
      <c r="S31" s="98">
        <f>(S23*S27)+(S28*S29)</f>
        <v>19388.29636373782</v>
      </c>
      <c r="T31" s="98">
        <f>(T23*T27)+(T28*T29)</f>
        <v>27628.461366598363</v>
      </c>
      <c r="U31" s="98">
        <f>(U23*U27)+(U28*U29)</f>
        <v>29858.467566550516</v>
      </c>
      <c r="V31" s="98">
        <f>(V23*V27)+(V28*V29)</f>
        <v>24556.298723915526</v>
      </c>
      <c r="W31" s="98">
        <f>(W23*W27)+(W28*W29)</f>
        <v>19564.901398648672</v>
      </c>
    </row>
    <row r="32" spans="1:39" hidden="1" x14ac:dyDescent="0.3">
      <c r="A32" s="4"/>
      <c r="B32" s="11"/>
      <c r="C32" s="4"/>
      <c r="D32" s="4"/>
      <c r="E32" s="4"/>
      <c r="F32" s="4"/>
      <c r="G32" s="4"/>
      <c r="H32" s="4"/>
      <c r="I32" s="4"/>
      <c r="J32" s="4"/>
      <c r="K32" s="4"/>
      <c r="L32" s="4"/>
      <c r="M32" s="4"/>
      <c r="N32" s="4"/>
      <c r="O32" s="4"/>
      <c r="P32" s="4"/>
    </row>
    <row r="33" spans="1:16" hidden="1" x14ac:dyDescent="0.3">
      <c r="A33" s="4"/>
      <c r="B33" s="11"/>
      <c r="C33" s="4"/>
      <c r="D33" s="4"/>
      <c r="E33" s="4"/>
      <c r="F33" s="4"/>
      <c r="G33" s="4"/>
      <c r="H33" s="4"/>
      <c r="I33" s="4"/>
      <c r="J33" s="4"/>
      <c r="K33" s="4"/>
      <c r="L33" s="4"/>
      <c r="M33" s="4"/>
      <c r="N33" s="4"/>
      <c r="O33" s="4"/>
      <c r="P33" s="4"/>
    </row>
    <row r="34" spans="1:16" hidden="1" x14ac:dyDescent="0.3">
      <c r="A34" s="4"/>
      <c r="B34" s="4"/>
      <c r="C34" s="4"/>
      <c r="D34" s="4"/>
      <c r="E34" s="4"/>
      <c r="F34" s="4"/>
      <c r="G34" s="4"/>
      <c r="H34" s="4"/>
      <c r="I34" s="4"/>
      <c r="J34" s="4"/>
      <c r="K34" s="4"/>
      <c r="L34" s="4"/>
      <c r="M34" s="4"/>
      <c r="N34" s="4"/>
      <c r="O34" s="4"/>
      <c r="P34" s="4"/>
    </row>
    <row r="35" spans="1:16" ht="15" customHeight="1" x14ac:dyDescent="0.3">
      <c r="A35" s="4"/>
      <c r="B35" s="75">
        <v>1</v>
      </c>
      <c r="C35" s="99" t="s">
        <v>61</v>
      </c>
      <c r="D35" s="99"/>
      <c r="E35" s="100"/>
      <c r="F35" s="100"/>
      <c r="G35" s="100"/>
      <c r="H35" s="100"/>
      <c r="I35" s="101"/>
      <c r="J35" s="101"/>
      <c r="K35" s="101"/>
      <c r="L35" s="101"/>
      <c r="M35" s="101"/>
      <c r="N35" s="101"/>
      <c r="O35" s="101"/>
      <c r="P35" s="4"/>
    </row>
    <row r="36" spans="1:16" ht="15" customHeight="1" x14ac:dyDescent="0.3">
      <c r="A36" s="4"/>
      <c r="B36" s="75">
        <v>2</v>
      </c>
      <c r="C36" s="189" t="s">
        <v>62</v>
      </c>
      <c r="D36" s="189"/>
      <c r="E36" s="189"/>
      <c r="F36" s="189"/>
      <c r="G36" s="189"/>
      <c r="H36" s="189"/>
      <c r="I36" s="189"/>
      <c r="J36" s="189"/>
      <c r="K36" s="189"/>
      <c r="L36" s="189"/>
      <c r="M36" s="189"/>
      <c r="N36" s="189"/>
      <c r="O36" s="189"/>
      <c r="P36" s="189"/>
    </row>
    <row r="37" spans="1:16" x14ac:dyDescent="0.3">
      <c r="A37" s="4"/>
      <c r="B37" s="4"/>
      <c r="C37" s="189"/>
      <c r="D37" s="189"/>
      <c r="E37" s="189"/>
      <c r="F37" s="189"/>
      <c r="G37" s="189"/>
      <c r="H37" s="189"/>
      <c r="I37" s="189"/>
      <c r="J37" s="189"/>
      <c r="K37" s="189"/>
      <c r="L37" s="189"/>
      <c r="M37" s="189"/>
      <c r="N37" s="189"/>
      <c r="O37" s="189"/>
      <c r="P37" s="189"/>
    </row>
    <row r="38" spans="1:16" x14ac:dyDescent="0.3">
      <c r="A38" s="4"/>
      <c r="B38" s="4"/>
      <c r="C38" s="75"/>
      <c r="D38" s="75"/>
      <c r="E38" s="75"/>
      <c r="F38" s="75"/>
      <c r="G38" s="75"/>
      <c r="H38" s="4"/>
      <c r="I38" s="4"/>
      <c r="J38" s="4"/>
      <c r="K38" s="4"/>
      <c r="L38" s="4"/>
      <c r="M38" s="4"/>
      <c r="N38" s="4"/>
      <c r="O38" s="4"/>
      <c r="P38" s="4"/>
    </row>
    <row r="39" spans="1:16" x14ac:dyDescent="0.3">
      <c r="A39" s="4"/>
      <c r="C39" s="75"/>
      <c r="D39" s="75"/>
      <c r="E39" s="75"/>
      <c r="F39" s="75"/>
      <c r="G39" s="75"/>
      <c r="H39" s="4"/>
      <c r="I39" s="4"/>
      <c r="J39" s="4"/>
      <c r="K39" s="4"/>
      <c r="L39" s="4"/>
      <c r="M39" s="4"/>
      <c r="N39" s="4"/>
      <c r="O39" s="4"/>
      <c r="P39" s="4"/>
    </row>
    <row r="40" spans="1:16" x14ac:dyDescent="0.3">
      <c r="A40" s="4"/>
      <c r="B40" s="4"/>
      <c r="C40" s="4"/>
      <c r="D40" s="4"/>
      <c r="E40" s="4"/>
      <c r="F40" s="4"/>
      <c r="G40" s="4"/>
      <c r="H40" s="4"/>
      <c r="I40" s="4"/>
      <c r="J40" s="4"/>
      <c r="K40" s="4"/>
      <c r="L40" s="4"/>
      <c r="M40" s="4"/>
      <c r="N40" s="4"/>
      <c r="O40" s="4"/>
      <c r="P40" s="4"/>
    </row>
  </sheetData>
  <mergeCells count="8">
    <mergeCell ref="C36:P37"/>
    <mergeCell ref="B2:P2"/>
    <mergeCell ref="B3:P3"/>
    <mergeCell ref="B4:P4"/>
    <mergeCell ref="B5:P5"/>
    <mergeCell ref="B6:P6"/>
    <mergeCell ref="B9:B10"/>
    <mergeCell ref="C9:C10"/>
  </mergeCells>
  <printOptions horizontalCentered="1"/>
  <pageMargins left="0.19685039370078741" right="0.19685039370078741" top="0.98425196850393704" bottom="0.39370078740157483" header="0.51181102362204722" footer="0.51181102362204722"/>
  <pageSetup scale="8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1"/>
  <sheetViews>
    <sheetView workbookViewId="0">
      <selection activeCell="H30" sqref="H30"/>
    </sheetView>
  </sheetViews>
  <sheetFormatPr defaultColWidth="8.28515625" defaultRowHeight="15" x14ac:dyDescent="0.3"/>
  <cols>
    <col min="1" max="1" width="2.140625" style="5" customWidth="1"/>
    <col min="2" max="2" width="5.42578125" style="5" customWidth="1"/>
    <col min="3" max="3" width="34.28515625" style="5" customWidth="1"/>
    <col min="4" max="4" width="8.28515625" style="5" customWidth="1"/>
    <col min="5" max="5" width="9.85546875" style="5" customWidth="1"/>
    <col min="6" max="6" width="10" style="5" customWidth="1"/>
    <col min="7" max="7" width="10.42578125" style="5" customWidth="1"/>
    <col min="8" max="8" width="12" style="5" customWidth="1"/>
    <col min="9" max="9" width="9.85546875" style="5" customWidth="1"/>
    <col min="10" max="10" width="10.85546875" style="5" bestFit="1" customWidth="1"/>
    <col min="11" max="16" width="9.28515625" style="5" customWidth="1"/>
    <col min="17" max="17" width="6.140625" style="5" customWidth="1"/>
    <col min="18" max="18" width="40.28515625" style="5" customWidth="1"/>
    <col min="19" max="21" width="12.28515625" style="5" customWidth="1"/>
    <col min="22" max="22" width="11.42578125" style="5" customWidth="1"/>
    <col min="23" max="23" width="11.28515625" style="5" bestFit="1" customWidth="1"/>
    <col min="24" max="16384" width="8.28515625" style="5"/>
  </cols>
  <sheetData>
    <row r="1" spans="1:16" ht="21" x14ac:dyDescent="0.4">
      <c r="A1" s="4"/>
      <c r="B1" s="2"/>
      <c r="C1" s="4"/>
      <c r="D1" s="4"/>
      <c r="E1" s="4"/>
      <c r="F1" s="4"/>
      <c r="G1" s="4"/>
      <c r="H1" s="4"/>
      <c r="I1" s="4"/>
      <c r="J1" s="4"/>
      <c r="K1" s="4"/>
      <c r="L1" s="4"/>
      <c r="M1" s="4"/>
      <c r="N1" s="4"/>
      <c r="P1" s="77" t="s">
        <v>36</v>
      </c>
    </row>
    <row r="2" spans="1:16" ht="21" x14ac:dyDescent="0.4">
      <c r="A2" s="4"/>
      <c r="B2" s="190" t="s">
        <v>1</v>
      </c>
      <c r="C2" s="190"/>
      <c r="D2" s="190"/>
      <c r="E2" s="190"/>
      <c r="F2" s="190"/>
      <c r="G2" s="190"/>
      <c r="H2" s="190"/>
      <c r="I2" s="190"/>
      <c r="J2" s="190"/>
      <c r="K2" s="190"/>
      <c r="L2" s="190"/>
      <c r="M2" s="190"/>
      <c r="N2" s="190"/>
      <c r="O2" s="190"/>
      <c r="P2" s="190"/>
    </row>
    <row r="3" spans="1:16" ht="18" x14ac:dyDescent="0.35">
      <c r="A3" s="4"/>
      <c r="B3" s="191" t="s">
        <v>37</v>
      </c>
      <c r="C3" s="191"/>
      <c r="D3" s="191"/>
      <c r="E3" s="191"/>
      <c r="F3" s="191"/>
      <c r="G3" s="191"/>
      <c r="H3" s="191"/>
      <c r="I3" s="191"/>
      <c r="J3" s="191"/>
      <c r="K3" s="191"/>
      <c r="L3" s="191"/>
      <c r="M3" s="191"/>
      <c r="N3" s="191"/>
      <c r="O3" s="191"/>
      <c r="P3" s="191"/>
    </row>
    <row r="4" spans="1:16" ht="18" x14ac:dyDescent="0.35">
      <c r="A4" s="4"/>
      <c r="B4" s="193" t="s">
        <v>33</v>
      </c>
      <c r="C4" s="193"/>
      <c r="D4" s="193"/>
      <c r="E4" s="193"/>
      <c r="F4" s="193"/>
      <c r="G4" s="193"/>
      <c r="H4" s="193"/>
      <c r="I4" s="193"/>
      <c r="J4" s="193"/>
      <c r="K4" s="193"/>
      <c r="L4" s="193"/>
      <c r="M4" s="193"/>
      <c r="N4" s="193"/>
      <c r="O4" s="193"/>
      <c r="P4" s="193"/>
    </row>
    <row r="5" spans="1:16" ht="18" x14ac:dyDescent="0.35">
      <c r="A5" s="4"/>
      <c r="B5" s="192" t="s">
        <v>38</v>
      </c>
      <c r="C5" s="192"/>
      <c r="D5" s="192"/>
      <c r="E5" s="192"/>
      <c r="F5" s="192"/>
      <c r="G5" s="192"/>
      <c r="H5" s="192"/>
      <c r="I5" s="192"/>
      <c r="J5" s="192"/>
      <c r="K5" s="192"/>
      <c r="L5" s="192"/>
      <c r="M5" s="192"/>
      <c r="N5" s="192"/>
      <c r="O5" s="192"/>
      <c r="P5" s="192"/>
    </row>
    <row r="6" spans="1:16" ht="18" x14ac:dyDescent="0.35">
      <c r="A6" s="4"/>
      <c r="B6" s="193" t="s">
        <v>39</v>
      </c>
      <c r="C6" s="193"/>
      <c r="D6" s="193"/>
      <c r="E6" s="193"/>
      <c r="F6" s="193"/>
      <c r="G6" s="193"/>
      <c r="H6" s="193"/>
      <c r="I6" s="193"/>
      <c r="J6" s="193"/>
      <c r="K6" s="193"/>
      <c r="L6" s="193"/>
      <c r="M6" s="193"/>
      <c r="N6" s="193"/>
      <c r="O6" s="193"/>
      <c r="P6" s="193"/>
    </row>
    <row r="7" spans="1:16" ht="18" x14ac:dyDescent="0.35">
      <c r="A7" s="4"/>
      <c r="B7" s="78"/>
      <c r="C7" s="79"/>
      <c r="D7" s="79"/>
      <c r="E7" s="79"/>
      <c r="F7" s="79"/>
      <c r="G7" s="79"/>
      <c r="H7" s="80"/>
      <c r="I7" s="81"/>
      <c r="J7" s="79"/>
      <c r="K7" s="79"/>
      <c r="L7" s="79"/>
      <c r="M7" s="79"/>
      <c r="N7" s="4"/>
      <c r="O7" s="4"/>
      <c r="P7" s="4"/>
    </row>
    <row r="8" spans="1:16" x14ac:dyDescent="0.3">
      <c r="A8" s="4"/>
      <c r="B8" s="4"/>
      <c r="C8" s="4"/>
      <c r="E8" s="11">
        <v>1</v>
      </c>
      <c r="F8" s="11">
        <v>2</v>
      </c>
      <c r="G8" s="11">
        <v>3</v>
      </c>
      <c r="H8" s="11">
        <v>4</v>
      </c>
      <c r="I8" s="11">
        <v>5</v>
      </c>
      <c r="J8" s="11">
        <v>6</v>
      </c>
      <c r="K8" s="11">
        <v>7</v>
      </c>
      <c r="L8" s="11">
        <v>8</v>
      </c>
      <c r="M8" s="11">
        <v>9</v>
      </c>
      <c r="N8" s="11">
        <v>10</v>
      </c>
      <c r="O8" s="11">
        <v>11</v>
      </c>
      <c r="P8" s="11">
        <v>12</v>
      </c>
    </row>
    <row r="9" spans="1:16" x14ac:dyDescent="0.3">
      <c r="A9" s="4"/>
      <c r="B9" s="194" t="s">
        <v>5</v>
      </c>
      <c r="C9" s="195" t="s">
        <v>6</v>
      </c>
      <c r="D9" s="82"/>
      <c r="E9" s="82"/>
      <c r="F9" s="82"/>
      <c r="G9" s="82"/>
      <c r="H9" s="83"/>
      <c r="I9" s="83"/>
      <c r="J9" s="83"/>
      <c r="K9" s="83"/>
      <c r="L9" s="83"/>
      <c r="M9" s="83"/>
      <c r="N9" s="83"/>
      <c r="O9" s="83"/>
      <c r="P9" s="83"/>
    </row>
    <row r="10" spans="1:16" x14ac:dyDescent="0.3">
      <c r="A10" s="4"/>
      <c r="B10" s="194"/>
      <c r="C10" s="195"/>
      <c r="D10" s="84"/>
      <c r="E10" s="85">
        <f>[3]CoGS!E1</f>
        <v>44866</v>
      </c>
      <c r="F10" s="85">
        <f>[3]CoGS!F1</f>
        <v>44896</v>
      </c>
      <c r="G10" s="85">
        <f>[3]CoGS!G1</f>
        <v>44927</v>
      </c>
      <c r="H10" s="85">
        <f>[3]CoGS!H1</f>
        <v>44958</v>
      </c>
      <c r="I10" s="85">
        <f>[3]CoGS!I1</f>
        <v>44986</v>
      </c>
      <c r="J10" s="85">
        <f>[3]CoGS!J1</f>
        <v>45017</v>
      </c>
      <c r="K10" s="85">
        <f>[3]CoGS!K1</f>
        <v>45047</v>
      </c>
      <c r="L10" s="85">
        <f>[3]CoGS!L1</f>
        <v>45078</v>
      </c>
      <c r="M10" s="85">
        <f>[3]CoGS!M1</f>
        <v>45108</v>
      </c>
      <c r="N10" s="85">
        <f>[3]CoGS!N1</f>
        <v>45139</v>
      </c>
      <c r="O10" s="85">
        <f>[3]CoGS!O1</f>
        <v>45170</v>
      </c>
      <c r="P10" s="85">
        <f>[3]CoGS!P1</f>
        <v>45200</v>
      </c>
    </row>
    <row r="11" spans="1:16" x14ac:dyDescent="0.3">
      <c r="A11" s="4"/>
      <c r="B11" s="4"/>
      <c r="C11" s="4"/>
      <c r="D11" s="4"/>
      <c r="E11" s="4"/>
      <c r="F11" s="4"/>
      <c r="G11" s="4"/>
      <c r="H11" s="4"/>
      <c r="I11" s="4"/>
      <c r="J11" s="4"/>
      <c r="K11" s="4"/>
      <c r="L11" s="4"/>
      <c r="M11" s="4"/>
      <c r="N11" s="4"/>
      <c r="O11" s="4"/>
      <c r="P11" s="4"/>
    </row>
    <row r="12" spans="1:16" x14ac:dyDescent="0.3">
      <c r="A12" s="4"/>
      <c r="B12" s="11">
        <v>1</v>
      </c>
      <c r="C12" s="4" t="s">
        <v>40</v>
      </c>
      <c r="D12" s="86"/>
      <c r="E12" s="86">
        <f>[3]CoGS!E33</f>
        <v>3.6859999999999999</v>
      </c>
      <c r="F12" s="86">
        <f>[3]CoGS!F33</f>
        <v>3.6859999999999999</v>
      </c>
      <c r="G12" s="86">
        <f>[3]CoGS!G33</f>
        <v>3.6859999999999999</v>
      </c>
      <c r="H12" s="86">
        <f>[3]CoGS!H33</f>
        <v>3.6859999999999999</v>
      </c>
      <c r="I12" s="86">
        <f>[3]CoGS!I33</f>
        <v>3.6859999999999999</v>
      </c>
      <c r="J12" s="86">
        <f>[3]CoGS!J33</f>
        <v>2.7909999999999999</v>
      </c>
      <c r="K12" s="86">
        <f>[3]CoGS!K33</f>
        <v>2.7909999999999999</v>
      </c>
      <c r="L12" s="86">
        <f>[3]CoGS!L33</f>
        <v>2.7909999999999999</v>
      </c>
      <c r="M12" s="86">
        <f>[3]CoGS!M33</f>
        <v>2.7909999999999999</v>
      </c>
      <c r="N12" s="86">
        <f>[3]CoGS!N33</f>
        <v>2.7909999999999999</v>
      </c>
      <c r="O12" s="86">
        <f>[3]CoGS!O33</f>
        <v>2.7909999999999999</v>
      </c>
      <c r="P12" s="86">
        <f>[3]CoGS!P33</f>
        <v>2.7909999999999999</v>
      </c>
    </row>
    <row r="13" spans="1:16" ht="21" customHeight="1" x14ac:dyDescent="0.3">
      <c r="A13" s="4"/>
      <c r="B13" s="11"/>
      <c r="C13" s="87" t="s">
        <v>41</v>
      </c>
      <c r="D13" s="86"/>
      <c r="E13" s="86"/>
      <c r="F13" s="86"/>
      <c r="G13" s="86"/>
      <c r="H13" s="86"/>
      <c r="I13" s="86"/>
      <c r="J13" s="86"/>
      <c r="K13" s="86"/>
      <c r="L13" s="86"/>
      <c r="M13" s="86"/>
      <c r="N13" s="86"/>
      <c r="O13" s="86"/>
      <c r="P13" s="86"/>
    </row>
    <row r="14" spans="1:16" x14ac:dyDescent="0.3">
      <c r="A14" s="4"/>
      <c r="B14" s="11">
        <v>2</v>
      </c>
      <c r="C14" s="4" t="s">
        <v>42</v>
      </c>
      <c r="D14" s="88"/>
      <c r="E14" s="88">
        <f>[3]CoGS!E55</f>
        <v>2.8026055958416225</v>
      </c>
      <c r="F14" s="88">
        <f>[3]CoGS!F55</f>
        <v>2.8026055958416221</v>
      </c>
      <c r="G14" s="88">
        <f>[3]CoGS!G55</f>
        <v>2.8045964912280699</v>
      </c>
      <c r="H14" s="88">
        <f>[3]CoGS!H55</f>
        <v>2.8045964912280703</v>
      </c>
      <c r="I14" s="88">
        <f>[3]CoGS!I55</f>
        <v>2.8045964912280699</v>
      </c>
      <c r="J14" s="88">
        <f>[3]CoGS!J55</f>
        <v>2.4432087254935273</v>
      </c>
      <c r="K14" s="88">
        <f>[3]CoGS!K55</f>
        <v>2.4432087254935273</v>
      </c>
      <c r="L14" s="88">
        <f>[3]CoGS!L55</f>
        <v>2.4432087254935273</v>
      </c>
      <c r="M14" s="88">
        <f>[3]CoGS!M55</f>
        <v>2.4432087254935273</v>
      </c>
      <c r="N14" s="88">
        <f>[3]CoGS!N55</f>
        <v>2.4432087254935273</v>
      </c>
      <c r="O14" s="88">
        <f>[3]CoGS!O55</f>
        <v>2.4432087254935273</v>
      </c>
      <c r="P14" s="88">
        <f>[3]CoGS!P55</f>
        <v>2.4432027705290627</v>
      </c>
    </row>
    <row r="15" spans="1:16" x14ac:dyDescent="0.3">
      <c r="A15" s="4"/>
      <c r="B15" s="11">
        <v>3</v>
      </c>
      <c r="C15" s="4" t="s">
        <v>43</v>
      </c>
      <c r="D15" s="89"/>
      <c r="E15" s="89">
        <f>-[3]CoGS!E133</f>
        <v>-0.60704614002438584</v>
      </c>
      <c r="F15" s="89">
        <f>-[3]CoGS!F133</f>
        <v>-0.60704614002438584</v>
      </c>
      <c r="G15" s="89">
        <f>-[3]CoGS!G133</f>
        <v>-0.60568574721475255</v>
      </c>
      <c r="H15" s="89">
        <f>-[3]CoGS!H133</f>
        <v>-0.6056857472147521</v>
      </c>
      <c r="I15" s="89">
        <f>-[3]CoGS!I133</f>
        <v>-0.60568574721475255</v>
      </c>
      <c r="J15" s="89">
        <f>-[3]CoGS!J133</f>
        <v>0</v>
      </c>
      <c r="K15" s="89">
        <f>-[3]CoGS!K133</f>
        <v>0</v>
      </c>
      <c r="L15" s="89">
        <f>-[3]CoGS!L133</f>
        <v>0</v>
      </c>
      <c r="M15" s="89">
        <f>-[3]CoGS!M133</f>
        <v>0</v>
      </c>
      <c r="N15" s="89">
        <f>-[3]CoGS!N133</f>
        <v>0</v>
      </c>
      <c r="O15" s="89">
        <f>-[3]CoGS!O133</f>
        <v>0</v>
      </c>
      <c r="P15" s="89">
        <f>-[3]CoGS!P133</f>
        <v>0</v>
      </c>
    </row>
    <row r="16" spans="1:16" x14ac:dyDescent="0.3">
      <c r="A16" s="4"/>
      <c r="B16" s="11">
        <v>4</v>
      </c>
      <c r="C16" s="4" t="s">
        <v>44</v>
      </c>
      <c r="D16" s="88"/>
      <c r="E16" s="88">
        <f>[3]CoGS!E143/([3]CoGS!E17)</f>
        <v>0.50336905602258875</v>
      </c>
      <c r="F16" s="88">
        <f>[3]CoGS!F143/([3]CoGS!F17)</f>
        <v>0.50336905602258875</v>
      </c>
      <c r="G16" s="88">
        <f>[3]CoGS!G143/([3]CoGS!G17)</f>
        <v>0.50224100396977844</v>
      </c>
      <c r="H16" s="88">
        <f>[3]CoGS!H143/([3]CoGS!H17)</f>
        <v>0.50224100396977844</v>
      </c>
      <c r="I16" s="88">
        <f>[3]CoGS!I143/([3]CoGS!I17)</f>
        <v>0.50224100396977844</v>
      </c>
      <c r="J16" s="88">
        <f>[3]CoGS!J143/([3]CoGS!J17)</f>
        <v>0.53304338962318643</v>
      </c>
      <c r="K16" s="88">
        <f>[3]CoGS!K143/([3]CoGS!K17)</f>
        <v>0.53304338962318643</v>
      </c>
      <c r="L16" s="88">
        <f>[3]CoGS!L143/([3]CoGS!L17)</f>
        <v>0.53304338962318643</v>
      </c>
      <c r="M16" s="88">
        <f>[3]CoGS!M143/([3]CoGS!M17)</f>
        <v>0.53304338962318643</v>
      </c>
      <c r="N16" s="88">
        <f>[3]CoGS!N143/([3]CoGS!N17)</f>
        <v>0.53304338962318643</v>
      </c>
      <c r="O16" s="88">
        <f>[3]CoGS!O143/([3]CoGS!O17)</f>
        <v>0.53304338962318643</v>
      </c>
      <c r="P16" s="88">
        <f>[3]CoGS!P143/([3]CoGS!P17)</f>
        <v>0.53305238716556536</v>
      </c>
    </row>
    <row r="17" spans="1:39" x14ac:dyDescent="0.3">
      <c r="A17" s="4"/>
      <c r="B17" s="11">
        <v>5</v>
      </c>
      <c r="C17" s="4" t="s">
        <v>45</v>
      </c>
      <c r="D17" s="88"/>
      <c r="E17" s="88">
        <f t="shared" ref="E17:P17" si="0">E14+E15+E16</f>
        <v>2.6989285118398252</v>
      </c>
      <c r="F17" s="88">
        <f t="shared" si="0"/>
        <v>2.6989285118398252</v>
      </c>
      <c r="G17" s="88">
        <f t="shared" si="0"/>
        <v>2.7011517479830958</v>
      </c>
      <c r="H17" s="88">
        <f t="shared" si="0"/>
        <v>2.7011517479830967</v>
      </c>
      <c r="I17" s="88">
        <f t="shared" si="0"/>
        <v>2.7011517479830958</v>
      </c>
      <c r="J17" s="88">
        <f t="shared" si="0"/>
        <v>2.9762521151167136</v>
      </c>
      <c r="K17" s="88">
        <f t="shared" si="0"/>
        <v>2.9762521151167136</v>
      </c>
      <c r="L17" s="88">
        <f t="shared" si="0"/>
        <v>2.9762521151167136</v>
      </c>
      <c r="M17" s="88">
        <f t="shared" si="0"/>
        <v>2.9762521151167136</v>
      </c>
      <c r="N17" s="88">
        <f t="shared" si="0"/>
        <v>2.9762521151167136</v>
      </c>
      <c r="O17" s="88">
        <f t="shared" si="0"/>
        <v>2.9762521151167136</v>
      </c>
      <c r="P17" s="88">
        <f t="shared" si="0"/>
        <v>2.9762551576946281</v>
      </c>
    </row>
    <row r="18" spans="1:39" x14ac:dyDescent="0.3">
      <c r="A18" s="4"/>
      <c r="B18" s="11">
        <v>6</v>
      </c>
      <c r="C18" s="4" t="s">
        <v>46</v>
      </c>
      <c r="D18" s="88"/>
      <c r="E18" s="88">
        <f>[3]CoGS!E146</f>
        <v>2.715597116356252</v>
      </c>
      <c r="F18" s="88">
        <f>[3]CoGS!F146</f>
        <v>2.7155971163562516</v>
      </c>
      <c r="G18" s="88">
        <f>[3]CoGS!G146</f>
        <v>2.7178577502899106</v>
      </c>
      <c r="H18" s="88">
        <f>[3]CoGS!H146</f>
        <v>2.7178577502899111</v>
      </c>
      <c r="I18" s="88">
        <f>[3]CoGS!I146</f>
        <v>2.7178577502899106</v>
      </c>
      <c r="J18" s="88">
        <f>[3]CoGS!J146</f>
        <v>2.996615784612227</v>
      </c>
      <c r="K18" s="88">
        <f>[3]CoGS!K146</f>
        <v>2.9966157846122266</v>
      </c>
      <c r="L18" s="88">
        <f>[3]CoGS!L146</f>
        <v>2.996615784612227</v>
      </c>
      <c r="M18" s="88">
        <f>[3]CoGS!M146</f>
        <v>2.9966157846122266</v>
      </c>
      <c r="N18" s="88">
        <f>[3]CoGS!N146</f>
        <v>2.9966157846122266</v>
      </c>
      <c r="O18" s="88">
        <f>[3]CoGS!O146</f>
        <v>2.996615784612227</v>
      </c>
      <c r="P18" s="88">
        <f>[3]CoGS!P146</f>
        <v>2.9966191940897797</v>
      </c>
    </row>
    <row r="19" spans="1:39" x14ac:dyDescent="0.3">
      <c r="A19" s="4"/>
      <c r="B19" s="11"/>
      <c r="C19" s="4"/>
      <c r="D19" s="88"/>
      <c r="E19" s="88"/>
      <c r="F19" s="88"/>
      <c r="G19" s="88"/>
      <c r="H19" s="88"/>
      <c r="I19" s="88"/>
      <c r="J19" s="88"/>
      <c r="K19" s="88"/>
      <c r="L19" s="88"/>
      <c r="M19" s="88"/>
      <c r="N19" s="88"/>
      <c r="O19" s="88"/>
      <c r="P19" s="88"/>
      <c r="R19" s="90" t="s">
        <v>47</v>
      </c>
      <c r="S19" s="91">
        <f>E10</f>
        <v>44866</v>
      </c>
      <c r="T19" s="91">
        <f>F10</f>
        <v>44896</v>
      </c>
      <c r="U19" s="91">
        <f>G10</f>
        <v>44927</v>
      </c>
      <c r="V19" s="91">
        <f>H10</f>
        <v>44958</v>
      </c>
      <c r="W19" s="91">
        <f>I10</f>
        <v>44986</v>
      </c>
    </row>
    <row r="20" spans="1:39" x14ac:dyDescent="0.3">
      <c r="A20" s="4"/>
      <c r="B20" s="11"/>
      <c r="C20" s="87" t="s">
        <v>48</v>
      </c>
      <c r="D20" s="88"/>
      <c r="E20" s="88"/>
      <c r="F20" s="88"/>
      <c r="G20" s="88"/>
      <c r="H20" s="88"/>
      <c r="I20" s="88"/>
      <c r="J20" s="88"/>
      <c r="K20" s="88"/>
      <c r="L20" s="88"/>
      <c r="M20" s="88"/>
      <c r="N20" s="88"/>
      <c r="O20" s="88"/>
      <c r="P20" s="88"/>
      <c r="R20" s="90"/>
      <c r="S20" s="91"/>
      <c r="T20" s="91"/>
      <c r="U20" s="91"/>
      <c r="V20" s="91"/>
      <c r="W20" s="91"/>
    </row>
    <row r="21" spans="1:39" x14ac:dyDescent="0.3">
      <c r="A21" s="4"/>
      <c r="B21" s="11">
        <v>7</v>
      </c>
      <c r="C21" s="4" t="s">
        <v>49</v>
      </c>
      <c r="D21" s="88"/>
      <c r="E21" s="88">
        <f t="shared" ref="E21:P21" si="1">E18</f>
        <v>2.715597116356252</v>
      </c>
      <c r="F21" s="88">
        <f t="shared" si="1"/>
        <v>2.7155971163562516</v>
      </c>
      <c r="G21" s="88">
        <f t="shared" si="1"/>
        <v>2.7178577502899106</v>
      </c>
      <c r="H21" s="88">
        <f t="shared" si="1"/>
        <v>2.7178577502899111</v>
      </c>
      <c r="I21" s="88">
        <f t="shared" si="1"/>
        <v>2.7178577502899106</v>
      </c>
      <c r="J21" s="88">
        <f t="shared" si="1"/>
        <v>2.996615784612227</v>
      </c>
      <c r="K21" s="88">
        <f t="shared" si="1"/>
        <v>2.9966157846122266</v>
      </c>
      <c r="L21" s="88">
        <f t="shared" si="1"/>
        <v>2.996615784612227</v>
      </c>
      <c r="M21" s="88">
        <f t="shared" si="1"/>
        <v>2.9966157846122266</v>
      </c>
      <c r="N21" s="88">
        <f t="shared" si="1"/>
        <v>2.9966157846122266</v>
      </c>
      <c r="O21" s="88">
        <f t="shared" si="1"/>
        <v>2.996615784612227</v>
      </c>
      <c r="P21" s="88">
        <f t="shared" si="1"/>
        <v>2.9966191940897797</v>
      </c>
      <c r="R21" s="90"/>
      <c r="S21" s="91"/>
      <c r="T21" s="91"/>
      <c r="U21" s="91"/>
      <c r="V21" s="91"/>
      <c r="W21" s="91"/>
    </row>
    <row r="22" spans="1:39" x14ac:dyDescent="0.3">
      <c r="A22" s="4"/>
      <c r="B22" s="11">
        <v>8</v>
      </c>
      <c r="C22" s="4" t="s">
        <v>50</v>
      </c>
      <c r="D22" s="92"/>
      <c r="E22" s="92">
        <f t="shared" ref="E22:P22" si="2">1-E24</f>
        <v>0.70624011653031848</v>
      </c>
      <c r="F22" s="92">
        <f t="shared" si="2"/>
        <v>0.52636985974488937</v>
      </c>
      <c r="G22" s="92">
        <f t="shared" si="2"/>
        <v>0.48979604377520813</v>
      </c>
      <c r="H22" s="92">
        <f t="shared" si="2"/>
        <v>0.53383736663596215</v>
      </c>
      <c r="I22" s="92">
        <f t="shared" si="2"/>
        <v>0.7202979707056143</v>
      </c>
      <c r="J22" s="92">
        <f t="shared" si="2"/>
        <v>1</v>
      </c>
      <c r="K22" s="92">
        <f t="shared" si="2"/>
        <v>1</v>
      </c>
      <c r="L22" s="92">
        <f t="shared" si="2"/>
        <v>1</v>
      </c>
      <c r="M22" s="92">
        <f t="shared" si="2"/>
        <v>1</v>
      </c>
      <c r="N22" s="92">
        <f t="shared" si="2"/>
        <v>1</v>
      </c>
      <c r="O22" s="92">
        <f t="shared" si="2"/>
        <v>1</v>
      </c>
      <c r="P22" s="92">
        <f t="shared" si="2"/>
        <v>1</v>
      </c>
      <c r="R22" s="90"/>
      <c r="S22" s="91"/>
      <c r="T22" s="91"/>
      <c r="U22" s="91"/>
      <c r="V22" s="91"/>
      <c r="W22" s="91"/>
    </row>
    <row r="23" spans="1:39" x14ac:dyDescent="0.3">
      <c r="A23" s="4"/>
      <c r="B23" s="11">
        <v>9</v>
      </c>
      <c r="C23" s="4" t="s">
        <v>51</v>
      </c>
      <c r="D23" s="89"/>
      <c r="E23" s="89">
        <f>[3]CoGS!E150</f>
        <v>3.2135014077119051</v>
      </c>
      <c r="F23" s="89">
        <f>[3]CoGS!F150</f>
        <v>3.2135014077119051</v>
      </c>
      <c r="G23" s="89">
        <f>[3]CoGS!G150</f>
        <v>3.2135014077119051</v>
      </c>
      <c r="H23" s="89">
        <f>[3]CoGS!H150</f>
        <v>3.2135014077119051</v>
      </c>
      <c r="I23" s="89">
        <f>[3]CoGS!I150</f>
        <v>3.2135014077119051</v>
      </c>
      <c r="J23" s="89">
        <f>[3]CoGS!J150</f>
        <v>3.1303188651067217</v>
      </c>
      <c r="K23" s="89">
        <f>[3]CoGS!K150</f>
        <v>3.0533430110516417</v>
      </c>
      <c r="L23" s="89">
        <f>[3]CoGS!L150</f>
        <v>3.0319177248578497</v>
      </c>
      <c r="M23" s="89">
        <f>[3]CoGS!M150</f>
        <v>3.0204485410427733</v>
      </c>
      <c r="N23" s="89">
        <f>[3]CoGS!N150</f>
        <v>3.0145948811684216</v>
      </c>
      <c r="O23" s="89">
        <f>[3]CoGS!O150</f>
        <v>3.0117734768270981</v>
      </c>
      <c r="P23" s="89">
        <f>[3]CoGS!P150</f>
        <v>3.0111803242800139</v>
      </c>
      <c r="R23" s="5" t="s">
        <v>52</v>
      </c>
      <c r="S23" s="71">
        <f>'[3] Schedule 1.0 Forecast COGS -A '!D39</f>
        <v>4646.2049999999999</v>
      </c>
      <c r="T23" s="71">
        <f>'[3] Schedule 1.0 Forecast COGS -A '!E39</f>
        <v>4801.0784999999996</v>
      </c>
      <c r="U23" s="71">
        <f>'[3] Schedule 1.0 Forecast COGS -A '!F39</f>
        <v>4811.82</v>
      </c>
      <c r="V23" s="71">
        <f>'[3] Schedule 1.0 Forecast COGS -A '!G39</f>
        <v>4346.16</v>
      </c>
      <c r="W23" s="71">
        <f>'[3] Schedule 1.0 Forecast COGS -A '!H39</f>
        <v>4811.82</v>
      </c>
    </row>
    <row r="24" spans="1:39" x14ac:dyDescent="0.3">
      <c r="A24" s="4"/>
      <c r="B24" s="11">
        <v>10</v>
      </c>
      <c r="C24" s="4" t="s">
        <v>53</v>
      </c>
      <c r="D24" s="92"/>
      <c r="E24" s="92">
        <f>[3]CoGS!E7/[3]CoGS!E20</f>
        <v>0.29375988346968157</v>
      </c>
      <c r="F24" s="92">
        <f>[3]CoGS!F7/[3]CoGS!F20</f>
        <v>0.47363014025511069</v>
      </c>
      <c r="G24" s="92">
        <f>[3]CoGS!G7/[3]CoGS!G20</f>
        <v>0.51020395622479187</v>
      </c>
      <c r="H24" s="92">
        <f>[3]CoGS!H7/[3]CoGS!H20</f>
        <v>0.46616263336403779</v>
      </c>
      <c r="I24" s="92">
        <f>[3]CoGS!I7/[3]CoGS!I20</f>
        <v>0.27970202929438565</v>
      </c>
      <c r="J24" s="92">
        <v>0</v>
      </c>
      <c r="K24" s="92">
        <v>0</v>
      </c>
      <c r="L24" s="92">
        <v>0</v>
      </c>
      <c r="M24" s="92">
        <v>0</v>
      </c>
      <c r="N24" s="92">
        <v>0</v>
      </c>
      <c r="O24" s="92">
        <v>0</v>
      </c>
      <c r="P24" s="92">
        <v>0</v>
      </c>
      <c r="S24" s="71"/>
      <c r="T24" s="71"/>
      <c r="U24" s="71"/>
      <c r="V24" s="71"/>
      <c r="W24" s="71"/>
    </row>
    <row r="25" spans="1:39" x14ac:dyDescent="0.3">
      <c r="A25" s="4"/>
      <c r="B25" s="11">
        <v>11</v>
      </c>
      <c r="C25" s="4" t="s">
        <v>54</v>
      </c>
      <c r="D25" s="89"/>
      <c r="E25" s="89">
        <f>(E21*E22)+(E23*E24)</f>
        <v>2.8618614229639432</v>
      </c>
      <c r="F25" s="89">
        <f>(F21*F22)+(F23*F24)</f>
        <v>2.9514195957046514</v>
      </c>
      <c r="G25" s="89">
        <f>(G21*G22)+(G23*G24)</f>
        <v>2.9707371051843374</v>
      </c>
      <c r="H25" s="89">
        <f>(H21*H22)+(H23*H24)</f>
        <v>2.9489083028439307</v>
      </c>
      <c r="I25" s="89">
        <f>(I21*I22)+(I23*I24)</f>
        <v>2.8564902870777336</v>
      </c>
      <c r="J25" s="88">
        <f t="shared" ref="J25:P25" si="3">J21</f>
        <v>2.996615784612227</v>
      </c>
      <c r="K25" s="88">
        <f t="shared" si="3"/>
        <v>2.9966157846122266</v>
      </c>
      <c r="L25" s="88">
        <f t="shared" si="3"/>
        <v>2.996615784612227</v>
      </c>
      <c r="M25" s="88">
        <f t="shared" si="3"/>
        <v>2.9966157846122266</v>
      </c>
      <c r="N25" s="88">
        <f t="shared" si="3"/>
        <v>2.9966157846122266</v>
      </c>
      <c r="O25" s="88">
        <f t="shared" si="3"/>
        <v>2.996615784612227</v>
      </c>
      <c r="P25" s="88">
        <f t="shared" si="3"/>
        <v>2.9966191940897797</v>
      </c>
      <c r="S25" s="71"/>
      <c r="T25" s="71"/>
      <c r="U25" s="71"/>
      <c r="V25" s="71"/>
      <c r="W25" s="71"/>
    </row>
    <row r="26" spans="1:39" x14ac:dyDescent="0.3">
      <c r="A26" s="4"/>
      <c r="B26" s="11"/>
      <c r="C26" s="4"/>
      <c r="D26" s="89"/>
      <c r="E26" s="89"/>
      <c r="F26" s="89"/>
      <c r="G26" s="89"/>
      <c r="H26" s="89"/>
      <c r="I26" s="89"/>
      <c r="J26" s="88"/>
      <c r="K26" s="88"/>
      <c r="L26" s="88"/>
      <c r="M26" s="88"/>
      <c r="N26" s="88"/>
      <c r="O26" s="88"/>
      <c r="P26" s="88"/>
      <c r="S26" s="71"/>
      <c r="T26" s="71"/>
      <c r="U26" s="71"/>
      <c r="V26" s="71"/>
      <c r="W26" s="71"/>
    </row>
    <row r="27" spans="1:39" x14ac:dyDescent="0.3">
      <c r="A27" s="4"/>
      <c r="B27" s="11">
        <v>12</v>
      </c>
      <c r="C27" s="4" t="s">
        <v>55</v>
      </c>
      <c r="D27" s="88"/>
      <c r="E27" s="88">
        <f>([3]CoGS!E152+[3]CoGS!E153+[3]CoGS!E154)/('[3] Sch 1.0 COGS (21 Rate App)'!E37*1000)</f>
        <v>2.3767754585572617E-2</v>
      </c>
      <c r="F27" s="88">
        <f>([3]CoGS!F152+[3]CoGS!F153+[3]CoGS!F154)/('[3] Sch 1.0 COGS (21 Rate App)'!F37*1000)</f>
        <v>1.8612774576514321E-2</v>
      </c>
      <c r="G27" s="88">
        <f>([3]CoGS!G152+[3]CoGS!G153+[3]CoGS!G154)/('[3] Sch 1.0 COGS (21 Rate App)'!G37*1000)</f>
        <v>1.5251526512574089E-2</v>
      </c>
      <c r="H27" s="88">
        <f>([3]CoGS!H152+[3]CoGS!H153+[3]CoGS!H154)/('[3] Sch 1.0 COGS (21 Rate App)'!H37*1000)</f>
        <v>1.3142527893833954E-2</v>
      </c>
      <c r="I27" s="88">
        <f>([3]CoGS!I152+[3]CoGS!I153+[3]CoGS!I154)/('[3] Sch 1.0 COGS (21 Rate App)'!I37*1000)</f>
        <v>1.3670865896582816E-2</v>
      </c>
      <c r="J27" s="88">
        <f>([3]CoGS!J152+[3]CoGS!J153+[3]CoGS!J154)/('[3] Sch 1.0 COGS (21 Rate App)'!J37*1000)</f>
        <v>1.9398820461038663E-2</v>
      </c>
      <c r="K27" s="88">
        <f>([3]CoGS!K152+[3]CoGS!K153+[3]CoGS!K154)/('[3] Sch 1.0 COGS (21 Rate App)'!K37*1000)</f>
        <v>3.6409363099289674E-2</v>
      </c>
      <c r="L27" s="88">
        <f>([3]CoGS!L152+[3]CoGS!L153+[3]CoGS!L154)/('[3] Sch 1.0 COGS (21 Rate App)'!L37*1000)</f>
        <v>5.143208500848688E-2</v>
      </c>
      <c r="M27" s="88">
        <f>([3]CoGS!M152+[3]CoGS!M153+[3]CoGS!M154)/('[3] Sch 1.0 COGS (21 Rate App)'!M37*1000)</f>
        <v>9.030945013012924E-2</v>
      </c>
      <c r="N27" s="88">
        <f>([3]CoGS!N152+[3]CoGS!N153+[3]CoGS!N154)/('[3] Sch 1.0 COGS (21 Rate App)'!N37*1000)</f>
        <v>9.8156223024072536E-2</v>
      </c>
      <c r="O27" s="88">
        <f>([3]CoGS!O152+[3]CoGS!O153+[3]CoGS!O154)/('[3] Sch 1.0 COGS (21 Rate App)'!O37*1000)</f>
        <v>6.482252231656907E-2</v>
      </c>
      <c r="P27" s="88">
        <f>([3]CoGS!P152+[3]CoGS!P153+[3]CoGS!P154)/('[3] Sch 1.0 COGS (21 Rate App)'!P37*1000)</f>
        <v>3.4470281088201965E-2</v>
      </c>
      <c r="R27" s="5" t="s">
        <v>49</v>
      </c>
      <c r="S27" s="93">
        <f>' Sch 1.1 Prices Page 2'!E18</f>
        <v>2.715597116356252</v>
      </c>
      <c r="T27" s="93">
        <f>' Sch 1.1 Prices Page 2'!F18</f>
        <v>2.7155971163562516</v>
      </c>
      <c r="U27" s="93">
        <f>' Sch 1.1 Prices Page 2'!G18</f>
        <v>2.7178577502899106</v>
      </c>
      <c r="V27" s="93">
        <f>' Sch 1.1 Prices Page 2'!H18</f>
        <v>2.7178577502899111</v>
      </c>
      <c r="W27" s="93">
        <f>' Sch 1.1 Prices Page 2'!I18</f>
        <v>2.7178577502899106</v>
      </c>
    </row>
    <row r="28" spans="1:39" x14ac:dyDescent="0.3">
      <c r="A28" s="4"/>
      <c r="B28" s="11"/>
      <c r="C28" s="4" t="s">
        <v>56</v>
      </c>
      <c r="D28" s="88"/>
      <c r="E28" s="88"/>
      <c r="F28" s="88"/>
      <c r="G28" s="88"/>
      <c r="H28" s="88"/>
      <c r="I28" s="88"/>
      <c r="J28" s="88"/>
      <c r="K28" s="88"/>
      <c r="L28" s="88"/>
      <c r="M28" s="88"/>
      <c r="N28" s="88"/>
      <c r="O28" s="88"/>
      <c r="P28" s="88"/>
      <c r="R28" s="5" t="s">
        <v>57</v>
      </c>
      <c r="S28" s="71">
        <f>'[3] Schedule 1.0 Forecast COGS -A '!D41</f>
        <v>1905.3879999999999</v>
      </c>
      <c r="T28" s="71">
        <f>'[3] Schedule 1.0 Forecast COGS -A '!E41</f>
        <v>4242.6089999999995</v>
      </c>
      <c r="U28" s="71">
        <f>'[3] Schedule 1.0 Forecast COGS -A '!F41</f>
        <v>4898.634</v>
      </c>
      <c r="V28" s="71">
        <f>'[3] Schedule 1.0 Forecast COGS -A '!G41</f>
        <v>3703.96</v>
      </c>
      <c r="W28" s="71">
        <f>'[3] Schedule 1.0 Forecast COGS -A '!H41</f>
        <v>1819.481</v>
      </c>
    </row>
    <row r="29" spans="1:39" ht="25.5" customHeight="1" x14ac:dyDescent="0.3">
      <c r="A29" s="4"/>
      <c r="B29" s="11">
        <v>13</v>
      </c>
      <c r="C29" s="4" t="s">
        <v>58</v>
      </c>
      <c r="D29" s="94"/>
      <c r="E29" s="94">
        <f>E25+E27</f>
        <v>2.8856291775495158</v>
      </c>
      <c r="F29" s="94">
        <f>F25+F27</f>
        <v>2.9700323702811655</v>
      </c>
      <c r="G29" s="94">
        <f>G25+G27</f>
        <v>2.9859886316969115</v>
      </c>
      <c r="H29" s="94">
        <f>H25+H27</f>
        <v>2.9620508307377644</v>
      </c>
      <c r="I29" s="94">
        <f>I25+I27</f>
        <v>2.8701611529743163</v>
      </c>
      <c r="J29" s="94">
        <f t="shared" ref="J29:P29" si="4">J18+J27</f>
        <v>3.0160146050732655</v>
      </c>
      <c r="K29" s="94">
        <f t="shared" si="4"/>
        <v>3.0330251477115162</v>
      </c>
      <c r="L29" s="94">
        <f t="shared" si="4"/>
        <v>3.0480478696207141</v>
      </c>
      <c r="M29" s="94">
        <f t="shared" si="4"/>
        <v>3.0869252347423557</v>
      </c>
      <c r="N29" s="94">
        <f t="shared" si="4"/>
        <v>3.094772007636299</v>
      </c>
      <c r="O29" s="94">
        <f t="shared" si="4"/>
        <v>3.061438306928796</v>
      </c>
      <c r="P29" s="94">
        <f t="shared" si="4"/>
        <v>3.0310894751779816</v>
      </c>
      <c r="R29" s="5" t="s">
        <v>59</v>
      </c>
      <c r="S29" s="95">
        <f>'[3] Schedule 1.0 Forecast COGS -A '!D42</f>
        <v>3.2135014077119051</v>
      </c>
      <c r="T29" s="95">
        <f>'[3] Schedule 1.0 Forecast COGS -A '!E42</f>
        <v>3.2135014077119051</v>
      </c>
      <c r="U29" s="95">
        <f>'[3] Schedule 1.0 Forecast COGS -A '!F42</f>
        <v>3.2135014077119051</v>
      </c>
      <c r="V29" s="95">
        <f>'[3] Schedule 1.0 Forecast COGS -A '!G42</f>
        <v>3.2135014077119051</v>
      </c>
      <c r="W29" s="95">
        <f>'[3] Schedule 1.0 Forecast COGS -A '!H42</f>
        <v>3.2135014077119051</v>
      </c>
    </row>
    <row r="30" spans="1:39" x14ac:dyDescent="0.3">
      <c r="A30" s="4"/>
      <c r="B30" s="11"/>
      <c r="C30" s="4"/>
      <c r="D30" s="4"/>
      <c r="E30" s="96"/>
      <c r="F30" s="96"/>
      <c r="G30" s="96"/>
      <c r="H30" s="96"/>
      <c r="I30" s="96"/>
      <c r="J30" s="96"/>
      <c r="K30" s="96"/>
      <c r="L30" s="96"/>
      <c r="M30" s="96"/>
      <c r="N30" s="96"/>
      <c r="O30" s="96"/>
      <c r="P30" s="96"/>
      <c r="Q30" s="97">
        <f t="shared" ref="Q30:AM30" si="5">Q25+Q27</f>
        <v>0</v>
      </c>
      <c r="R30" s="97" t="e">
        <f t="shared" si="5"/>
        <v>#VALUE!</v>
      </c>
      <c r="S30" s="97">
        <f t="shared" si="5"/>
        <v>2.715597116356252</v>
      </c>
      <c r="T30" s="97">
        <f t="shared" si="5"/>
        <v>2.7155971163562516</v>
      </c>
      <c r="U30" s="97">
        <f t="shared" si="5"/>
        <v>2.7178577502899106</v>
      </c>
      <c r="V30" s="97">
        <f t="shared" si="5"/>
        <v>2.7178577502899111</v>
      </c>
      <c r="W30" s="97">
        <f t="shared" si="5"/>
        <v>2.7178577502899106</v>
      </c>
      <c r="X30" s="97">
        <f t="shared" si="5"/>
        <v>0</v>
      </c>
      <c r="Y30" s="97">
        <f t="shared" si="5"/>
        <v>0</v>
      </c>
      <c r="Z30" s="97">
        <f t="shared" si="5"/>
        <v>0</v>
      </c>
      <c r="AA30" s="97">
        <f t="shared" si="5"/>
        <v>0</v>
      </c>
      <c r="AB30" s="97">
        <f t="shared" si="5"/>
        <v>0</v>
      </c>
      <c r="AC30" s="97">
        <f t="shared" si="5"/>
        <v>0</v>
      </c>
      <c r="AD30" s="97">
        <f t="shared" si="5"/>
        <v>0</v>
      </c>
      <c r="AE30" s="97">
        <f t="shared" si="5"/>
        <v>0</v>
      </c>
      <c r="AF30" s="97">
        <f t="shared" si="5"/>
        <v>0</v>
      </c>
      <c r="AG30" s="97">
        <f t="shared" si="5"/>
        <v>0</v>
      </c>
      <c r="AH30" s="97">
        <f t="shared" si="5"/>
        <v>0</v>
      </c>
      <c r="AI30" s="97">
        <f t="shared" si="5"/>
        <v>0</v>
      </c>
      <c r="AJ30" s="97">
        <f t="shared" si="5"/>
        <v>0</v>
      </c>
      <c r="AK30" s="97">
        <f t="shared" si="5"/>
        <v>0</v>
      </c>
      <c r="AL30" s="97">
        <f t="shared" si="5"/>
        <v>0</v>
      </c>
      <c r="AM30" s="97">
        <f t="shared" si="5"/>
        <v>0</v>
      </c>
    </row>
    <row r="31" spans="1:39" x14ac:dyDescent="0.3">
      <c r="A31" s="4"/>
      <c r="B31" s="11"/>
      <c r="C31" s="4"/>
      <c r="D31" s="4"/>
      <c r="E31" s="88"/>
      <c r="F31" s="88"/>
      <c r="G31" s="88"/>
      <c r="H31" s="88"/>
      <c r="I31" s="4"/>
      <c r="J31" s="4"/>
      <c r="K31" s="4"/>
      <c r="L31" s="4"/>
      <c r="M31" s="88"/>
      <c r="N31" s="88"/>
      <c r="O31" s="88"/>
      <c r="P31" s="88"/>
      <c r="R31" s="5" t="s">
        <v>60</v>
      </c>
      <c r="S31" s="98">
        <f>(S23*S27)+(S28*S29)</f>
        <v>18740.187920237371</v>
      </c>
      <c r="T31" s="98">
        <f>(T23*T27)+(T28*T29)</f>
        <v>26671.424923871193</v>
      </c>
      <c r="U31" s="98">
        <f>(U23*U27)+(U28*U29)</f>
        <v>28819.609534865398</v>
      </c>
      <c r="V31" s="98">
        <f>(V23*V27)+(V28*V29)</f>
        <v>23714.925314108586</v>
      </c>
      <c r="W31" s="98">
        <f>(W23*W27)+(W28*W29)</f>
        <v>18924.747034805063</v>
      </c>
    </row>
    <row r="32" spans="1:39" hidden="1" x14ac:dyDescent="0.3">
      <c r="A32" s="4"/>
      <c r="B32" s="11"/>
      <c r="C32" s="4"/>
      <c r="D32" s="4"/>
      <c r="E32" s="4"/>
      <c r="F32" s="4"/>
      <c r="G32" s="4"/>
      <c r="H32" s="4"/>
      <c r="I32" s="4"/>
      <c r="J32" s="4"/>
      <c r="K32" s="4"/>
      <c r="L32" s="4"/>
      <c r="M32" s="4"/>
      <c r="N32" s="4"/>
      <c r="O32" s="4"/>
      <c r="P32" s="4"/>
    </row>
    <row r="33" spans="1:16" hidden="1" x14ac:dyDescent="0.3">
      <c r="A33" s="4"/>
      <c r="B33" s="11"/>
      <c r="C33" s="4"/>
      <c r="D33" s="4"/>
      <c r="E33" s="4"/>
      <c r="F33" s="4"/>
      <c r="G33" s="4"/>
      <c r="H33" s="4"/>
      <c r="I33" s="4"/>
      <c r="J33" s="4"/>
      <c r="K33" s="4"/>
      <c r="L33" s="4"/>
      <c r="M33" s="4"/>
      <c r="N33" s="4"/>
      <c r="O33" s="4"/>
      <c r="P33" s="4"/>
    </row>
    <row r="34" spans="1:16" hidden="1" x14ac:dyDescent="0.3">
      <c r="A34" s="4"/>
      <c r="B34" s="4"/>
      <c r="C34" s="4"/>
      <c r="D34" s="4"/>
      <c r="E34" s="4"/>
      <c r="F34" s="4"/>
      <c r="G34" s="4"/>
      <c r="H34" s="4"/>
      <c r="I34" s="4"/>
      <c r="J34" s="4"/>
      <c r="K34" s="4"/>
      <c r="L34" s="4"/>
      <c r="M34" s="4"/>
      <c r="N34" s="4"/>
      <c r="O34" s="4"/>
      <c r="P34" s="4"/>
    </row>
    <row r="35" spans="1:16" x14ac:dyDescent="0.3">
      <c r="A35" s="4"/>
      <c r="B35" s="75">
        <v>1</v>
      </c>
      <c r="C35" s="99" t="s">
        <v>61</v>
      </c>
      <c r="D35" s="99"/>
      <c r="E35" s="100"/>
      <c r="F35" s="100"/>
      <c r="G35" s="100"/>
      <c r="H35" s="100"/>
      <c r="I35" s="101"/>
      <c r="J35" s="101"/>
      <c r="K35" s="101"/>
      <c r="L35" s="101"/>
      <c r="M35" s="101"/>
      <c r="N35" s="101"/>
      <c r="O35" s="101"/>
      <c r="P35" s="4"/>
    </row>
    <row r="36" spans="1:16" ht="15" customHeight="1" x14ac:dyDescent="0.3">
      <c r="A36" s="4"/>
      <c r="B36" s="75">
        <v>2</v>
      </c>
      <c r="C36" s="189" t="s">
        <v>62</v>
      </c>
      <c r="D36" s="189"/>
      <c r="E36" s="189"/>
      <c r="F36" s="189"/>
      <c r="G36" s="189"/>
      <c r="H36" s="189"/>
      <c r="I36" s="189"/>
      <c r="J36" s="189"/>
      <c r="K36" s="189"/>
      <c r="L36" s="189"/>
      <c r="M36" s="189"/>
      <c r="N36" s="189"/>
      <c r="O36" s="189"/>
      <c r="P36" s="189"/>
    </row>
    <row r="37" spans="1:16" x14ac:dyDescent="0.3">
      <c r="A37" s="4"/>
      <c r="B37" s="4"/>
      <c r="C37" s="189"/>
      <c r="D37" s="189"/>
      <c r="E37" s="189"/>
      <c r="F37" s="189"/>
      <c r="G37" s="189"/>
      <c r="H37" s="189"/>
      <c r="I37" s="189"/>
      <c r="J37" s="189"/>
      <c r="K37" s="189"/>
      <c r="L37" s="189"/>
      <c r="M37" s="189"/>
      <c r="N37" s="189"/>
      <c r="O37" s="189"/>
      <c r="P37" s="189"/>
    </row>
    <row r="38" spans="1:16" x14ac:dyDescent="0.3">
      <c r="A38" s="4"/>
      <c r="B38" s="4"/>
      <c r="C38" s="75"/>
      <c r="D38" s="75"/>
      <c r="E38" s="75"/>
      <c r="F38" s="75"/>
      <c r="G38" s="75"/>
      <c r="H38" s="4"/>
      <c r="I38" s="4"/>
      <c r="J38" s="4"/>
      <c r="K38" s="4"/>
      <c r="L38" s="4"/>
      <c r="M38" s="4"/>
      <c r="N38" s="4"/>
      <c r="O38" s="4"/>
      <c r="P38" s="4"/>
    </row>
    <row r="39" spans="1:16" x14ac:dyDescent="0.3">
      <c r="A39" s="4"/>
      <c r="B39" s="4"/>
      <c r="C39" s="75"/>
      <c r="D39" s="75"/>
      <c r="E39" s="75"/>
      <c r="F39" s="75"/>
      <c r="G39" s="75"/>
      <c r="H39" s="4"/>
      <c r="I39" s="4"/>
      <c r="J39" s="4"/>
      <c r="K39" s="4"/>
      <c r="L39" s="4"/>
      <c r="M39" s="4"/>
      <c r="N39" s="4"/>
      <c r="O39" s="4"/>
      <c r="P39" s="4"/>
    </row>
    <row r="40" spans="1:16" x14ac:dyDescent="0.3">
      <c r="A40" s="4"/>
      <c r="C40" s="75"/>
      <c r="D40" s="75"/>
      <c r="E40" s="75"/>
      <c r="F40" s="75"/>
      <c r="G40" s="75"/>
      <c r="H40" s="4"/>
      <c r="I40" s="4"/>
      <c r="J40" s="4"/>
      <c r="K40" s="4"/>
      <c r="L40" s="4"/>
      <c r="M40" s="4"/>
      <c r="N40" s="4"/>
      <c r="O40" s="4"/>
      <c r="P40" s="4"/>
    </row>
    <row r="41" spans="1:16" x14ac:dyDescent="0.3">
      <c r="A41" s="4"/>
      <c r="B41" s="4"/>
      <c r="C41" s="4"/>
      <c r="D41" s="4"/>
      <c r="E41" s="4"/>
      <c r="F41" s="4"/>
      <c r="G41" s="4"/>
      <c r="H41" s="4"/>
      <c r="I41" s="4"/>
      <c r="J41" s="4"/>
      <c r="K41" s="4"/>
      <c r="L41" s="4"/>
      <c r="M41" s="4"/>
      <c r="N41" s="4"/>
      <c r="O41" s="4"/>
      <c r="P41" s="4"/>
    </row>
  </sheetData>
  <mergeCells count="8">
    <mergeCell ref="C36:P37"/>
    <mergeCell ref="B2:P2"/>
    <mergeCell ref="B3:P3"/>
    <mergeCell ref="B4:P4"/>
    <mergeCell ref="B5:P5"/>
    <mergeCell ref="B6:P6"/>
    <mergeCell ref="B9:B10"/>
    <mergeCell ref="C9:C10"/>
  </mergeCells>
  <printOptions horizontalCentered="1"/>
  <pageMargins left="0.19685039370078741" right="0.19685039370078741" top="0.98425196850393704" bottom="0.39370078740157483" header="0.51181102362204722" footer="0.51181102362204722"/>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topLeftCell="A13" zoomScaleNormal="100" zoomScaleSheetLayoutView="100" workbookViewId="0">
      <selection activeCell="I45" sqref="I45"/>
    </sheetView>
  </sheetViews>
  <sheetFormatPr defaultColWidth="7.28515625" defaultRowHeight="12.75" x14ac:dyDescent="0.25"/>
  <cols>
    <col min="1" max="1" width="7.28515625" style="104"/>
    <col min="2" max="2" width="5.7109375" style="104" customWidth="1"/>
    <col min="3" max="3" width="38" style="104" customWidth="1"/>
    <col min="4" max="15" width="10" style="104" customWidth="1"/>
    <col min="16" max="16" width="10" style="164" customWidth="1"/>
    <col min="17" max="17" width="8.5703125" style="164" customWidth="1"/>
    <col min="18" max="18" width="3.140625" style="104" customWidth="1"/>
    <col min="19" max="16384" width="7.28515625" style="104"/>
  </cols>
  <sheetData>
    <row r="1" spans="2:18" ht="25.5" customHeight="1" x14ac:dyDescent="0.5">
      <c r="B1" s="102"/>
      <c r="C1" s="2"/>
      <c r="D1" s="102"/>
      <c r="E1" s="102"/>
      <c r="F1" s="102"/>
      <c r="G1" s="102"/>
      <c r="H1" s="102"/>
      <c r="I1" s="102"/>
      <c r="J1" s="102"/>
      <c r="K1" s="102"/>
      <c r="L1" s="102"/>
      <c r="M1" s="102"/>
      <c r="N1" s="102"/>
      <c r="O1" s="102"/>
      <c r="P1" s="103"/>
      <c r="Q1" s="3" t="s">
        <v>63</v>
      </c>
      <c r="R1" s="102"/>
    </row>
    <row r="2" spans="2:18" ht="22.5" x14ac:dyDescent="0.4">
      <c r="B2" s="102"/>
      <c r="C2" s="184" t="s">
        <v>1</v>
      </c>
      <c r="D2" s="184"/>
      <c r="E2" s="184"/>
      <c r="F2" s="184"/>
      <c r="G2" s="184"/>
      <c r="H2" s="184"/>
      <c r="I2" s="184"/>
      <c r="J2" s="184"/>
      <c r="K2" s="184"/>
      <c r="L2" s="184"/>
      <c r="M2" s="184"/>
      <c r="N2" s="184"/>
      <c r="O2" s="184"/>
      <c r="P2" s="103"/>
      <c r="Q2" s="103"/>
      <c r="R2" s="102"/>
    </row>
    <row r="3" spans="2:18" ht="21" x14ac:dyDescent="0.4">
      <c r="B3" s="102"/>
      <c r="C3" s="186" t="s">
        <v>64</v>
      </c>
      <c r="D3" s="186"/>
      <c r="E3" s="186"/>
      <c r="F3" s="186"/>
      <c r="G3" s="186"/>
      <c r="H3" s="186"/>
      <c r="I3" s="186"/>
      <c r="J3" s="186"/>
      <c r="K3" s="186"/>
      <c r="L3" s="186"/>
      <c r="M3" s="186"/>
      <c r="N3" s="186"/>
      <c r="O3" s="186"/>
      <c r="P3" s="105"/>
      <c r="Q3" s="103"/>
      <c r="R3" s="102"/>
    </row>
    <row r="4" spans="2:18" ht="21" x14ac:dyDescent="0.4">
      <c r="B4" s="102"/>
      <c r="C4" s="186" t="s">
        <v>3</v>
      </c>
      <c r="D4" s="186"/>
      <c r="E4" s="186"/>
      <c r="F4" s="186"/>
      <c r="G4" s="186"/>
      <c r="H4" s="186"/>
      <c r="I4" s="186"/>
      <c r="J4" s="186"/>
      <c r="K4" s="186"/>
      <c r="L4" s="186"/>
      <c r="M4" s="186"/>
      <c r="N4" s="186"/>
      <c r="O4" s="186"/>
      <c r="P4" s="103"/>
      <c r="Q4" s="103"/>
      <c r="R4" s="102"/>
    </row>
    <row r="5" spans="2:18" ht="21" x14ac:dyDescent="0.4">
      <c r="B5" s="102"/>
      <c r="C5" s="186"/>
      <c r="D5" s="186"/>
      <c r="E5" s="186"/>
      <c r="F5" s="186"/>
      <c r="G5" s="186"/>
      <c r="H5" s="186"/>
      <c r="I5" s="186"/>
      <c r="J5" s="186"/>
      <c r="K5" s="186"/>
      <c r="L5" s="186"/>
      <c r="M5" s="186"/>
      <c r="N5" s="186"/>
      <c r="O5" s="186"/>
      <c r="P5" s="103"/>
      <c r="Q5" s="103"/>
      <c r="R5" s="102"/>
    </row>
    <row r="6" spans="2:18" ht="15.75" thickBot="1" x14ac:dyDescent="0.35">
      <c r="B6" s="102"/>
      <c r="C6" s="52"/>
      <c r="D6" s="106">
        <v>1</v>
      </c>
      <c r="E6" s="106">
        <v>2</v>
      </c>
      <c r="F6" s="106">
        <v>3</v>
      </c>
      <c r="G6" s="107">
        <v>4</v>
      </c>
      <c r="H6" s="107">
        <v>5</v>
      </c>
      <c r="I6" s="107">
        <v>6</v>
      </c>
      <c r="J6" s="107">
        <v>7</v>
      </c>
      <c r="K6" s="107">
        <v>8</v>
      </c>
      <c r="L6" s="107">
        <v>9</v>
      </c>
      <c r="M6" s="107">
        <v>10</v>
      </c>
      <c r="N6" s="107">
        <v>11</v>
      </c>
      <c r="O6" s="107">
        <v>12</v>
      </c>
      <c r="P6" s="103"/>
      <c r="Q6" s="103"/>
      <c r="R6" s="102"/>
    </row>
    <row r="7" spans="2:18" ht="21" customHeight="1" x14ac:dyDescent="0.3">
      <c r="B7" s="108"/>
      <c r="C7" s="109"/>
      <c r="D7" s="110">
        <f>'[2] Schedule 1.0 Forecast COGS -A '!D9</f>
        <v>44501</v>
      </c>
      <c r="E7" s="110">
        <f>'[2] Schedule 1.0 Forecast COGS -A '!E9</f>
        <v>44531</v>
      </c>
      <c r="F7" s="110">
        <f>'[2] Schedule 1.0 Forecast COGS -A '!F9</f>
        <v>44562</v>
      </c>
      <c r="G7" s="110">
        <f>'[2] Schedule 1.0 Forecast COGS -A '!G9</f>
        <v>44593</v>
      </c>
      <c r="H7" s="110">
        <f>'[2] Schedule 1.0 Forecast COGS -A '!H9</f>
        <v>44621</v>
      </c>
      <c r="I7" s="110">
        <f>'[2] Schedule 1.0 Forecast COGS -A '!I9</f>
        <v>44652</v>
      </c>
      <c r="J7" s="110">
        <f>'[2] Schedule 1.0 Forecast COGS -A '!J9</f>
        <v>44682</v>
      </c>
      <c r="K7" s="110">
        <f>'[2] Schedule 1.0 Forecast COGS -A '!K9</f>
        <v>44713</v>
      </c>
      <c r="L7" s="110">
        <f>'[2] Schedule 1.0 Forecast COGS -A '!L9</f>
        <v>44743</v>
      </c>
      <c r="M7" s="110">
        <f>'[2] Schedule 1.0 Forecast COGS -A '!M9</f>
        <v>44774</v>
      </c>
      <c r="N7" s="110">
        <f>'[2] Schedule 1.0 Forecast COGS -A '!N9</f>
        <v>44805</v>
      </c>
      <c r="O7" s="111">
        <f>'[2] Schedule 1.0 Forecast COGS -A '!O9</f>
        <v>44835</v>
      </c>
      <c r="P7" s="112"/>
      <c r="Q7" s="112"/>
      <c r="R7" s="102"/>
    </row>
    <row r="8" spans="2:18" ht="15" x14ac:dyDescent="0.3">
      <c r="B8" s="113"/>
      <c r="C8" s="114"/>
      <c r="D8" s="114"/>
      <c r="E8" s="114"/>
      <c r="F8" s="114"/>
      <c r="G8" s="114"/>
      <c r="H8" s="114"/>
      <c r="I8" s="114"/>
      <c r="J8" s="114"/>
      <c r="K8" s="114"/>
      <c r="L8" s="114"/>
      <c r="M8" s="114"/>
      <c r="N8" s="114"/>
      <c r="O8" s="115"/>
      <c r="P8" s="103"/>
      <c r="Q8" s="103"/>
      <c r="R8" s="102"/>
    </row>
    <row r="9" spans="2:18" ht="15" x14ac:dyDescent="0.3">
      <c r="B9" s="116" t="s">
        <v>5</v>
      </c>
      <c r="C9" s="117" t="s">
        <v>65</v>
      </c>
      <c r="D9" s="114"/>
      <c r="E9" s="114"/>
      <c r="F9" s="114"/>
      <c r="G9" s="114"/>
      <c r="H9" s="114"/>
      <c r="I9" s="114"/>
      <c r="J9" s="114"/>
      <c r="K9" s="114"/>
      <c r="L9" s="114"/>
      <c r="M9" s="114"/>
      <c r="N9" s="114"/>
      <c r="O9" s="115"/>
      <c r="P9" s="103"/>
      <c r="Q9" s="103"/>
      <c r="R9" s="102"/>
    </row>
    <row r="10" spans="2:18" ht="15" x14ac:dyDescent="0.3">
      <c r="B10" s="116"/>
      <c r="C10" s="114"/>
      <c r="D10" s="114"/>
      <c r="E10" s="114"/>
      <c r="F10" s="114"/>
      <c r="G10" s="114"/>
      <c r="H10" s="114"/>
      <c r="I10" s="114"/>
      <c r="J10" s="114"/>
      <c r="K10" s="114"/>
      <c r="L10" s="114"/>
      <c r="M10" s="114"/>
      <c r="N10" s="114"/>
      <c r="O10" s="115"/>
      <c r="P10" s="103"/>
      <c r="Q10" s="103"/>
      <c r="R10" s="102"/>
    </row>
    <row r="11" spans="2:18" ht="15" x14ac:dyDescent="0.3">
      <c r="B11" s="116">
        <v>1</v>
      </c>
      <c r="C11" s="114" t="s">
        <v>66</v>
      </c>
      <c r="D11" s="118">
        <f>[2]Inventory!E35/1000</f>
        <v>17762.894302000001</v>
      </c>
      <c r="E11" s="118">
        <f>[2]Inventory!F35/1000</f>
        <v>15869.974302000001</v>
      </c>
      <c r="F11" s="118">
        <f>[2]Inventory!G35/1000</f>
        <v>11629.357302</v>
      </c>
      <c r="G11" s="118">
        <f>[2]Inventory!H35/1000</f>
        <v>6717.8493020000014</v>
      </c>
      <c r="H11" s="118">
        <f>[2]Inventory!I35/1000</f>
        <v>3007.4843020000012</v>
      </c>
      <c r="I11" s="118">
        <f>[2]Inventory!J35/1000</f>
        <v>1192.7663020000011</v>
      </c>
      <c r="J11" s="118">
        <f>[2]Inventory!K35/1000</f>
        <v>1932.4773020000011</v>
      </c>
      <c r="K11" s="118">
        <f>[2]Inventory!L35/1000</f>
        <v>4558.5073020000009</v>
      </c>
      <c r="L11" s="118">
        <f>[2]Inventory!M35/1000</f>
        <v>7327.0763020000013</v>
      </c>
      <c r="M11" s="118">
        <f>[2]Inventory!N35/1000</f>
        <v>10855.705302</v>
      </c>
      <c r="N11" s="118">
        <f>[2]Inventory!O35/1000</f>
        <v>14391.817302000001</v>
      </c>
      <c r="O11" s="119">
        <f>[2]Inventory!P35/1000</f>
        <v>17070.887302000003</v>
      </c>
      <c r="P11" s="103"/>
      <c r="Q11" s="103"/>
      <c r="R11" s="102"/>
    </row>
    <row r="12" spans="2:18" ht="15" x14ac:dyDescent="0.3">
      <c r="B12" s="116">
        <v>2</v>
      </c>
      <c r="C12" s="114" t="s">
        <v>67</v>
      </c>
      <c r="D12" s="118">
        <f>[2]Inventory!E39/1000</f>
        <v>15869.974302000001</v>
      </c>
      <c r="E12" s="118">
        <f>[2]Inventory!F39/1000</f>
        <v>11629.357302</v>
      </c>
      <c r="F12" s="118">
        <f>[2]Inventory!G39/1000</f>
        <v>6717.8493020000014</v>
      </c>
      <c r="G12" s="118">
        <f>[2]Inventory!H39/1000</f>
        <v>3007.4843020000012</v>
      </c>
      <c r="H12" s="118">
        <f>[2]Inventory!I39/1000</f>
        <v>1192.7663020000011</v>
      </c>
      <c r="I12" s="118">
        <f>[2]Inventory!J39/1000</f>
        <v>1932.4773020000011</v>
      </c>
      <c r="J12" s="118">
        <f>[2]Inventory!K39/1000</f>
        <v>4558.5073020000009</v>
      </c>
      <c r="K12" s="118">
        <f>[2]Inventory!L39/1000</f>
        <v>7327.0763020000013</v>
      </c>
      <c r="L12" s="118">
        <f>[2]Inventory!M39/1000</f>
        <v>10855.705302</v>
      </c>
      <c r="M12" s="118">
        <f>[2]Inventory!N39/1000</f>
        <v>14391.817302000001</v>
      </c>
      <c r="N12" s="118">
        <f>[2]Inventory!O39/1000</f>
        <v>17070.887302000003</v>
      </c>
      <c r="O12" s="119">
        <f>[2]Inventory!P39/1000</f>
        <v>17762.894302000001</v>
      </c>
      <c r="P12" s="103"/>
      <c r="Q12" s="103"/>
      <c r="R12" s="102"/>
    </row>
    <row r="13" spans="2:18" ht="15" x14ac:dyDescent="0.3">
      <c r="B13" s="116"/>
      <c r="C13" s="114"/>
      <c r="D13" s="114"/>
      <c r="E13" s="114"/>
      <c r="F13" s="114"/>
      <c r="G13" s="114"/>
      <c r="H13" s="114"/>
      <c r="I13" s="114"/>
      <c r="J13" s="114"/>
      <c r="K13" s="114"/>
      <c r="L13" s="114"/>
      <c r="M13" s="114"/>
      <c r="N13" s="114"/>
      <c r="O13" s="115"/>
      <c r="P13" s="103"/>
      <c r="Q13" s="103"/>
      <c r="R13" s="102"/>
    </row>
    <row r="14" spans="2:18" ht="15" x14ac:dyDescent="0.3">
      <c r="B14" s="116">
        <v>3</v>
      </c>
      <c r="C14" s="114" t="s">
        <v>68</v>
      </c>
      <c r="D14" s="118">
        <f>[2]Inventory!E37/1000</f>
        <v>1892.92</v>
      </c>
      <c r="E14" s="118">
        <f>[2]Inventory!F37/1000</f>
        <v>4240.6170000000002</v>
      </c>
      <c r="F14" s="118">
        <f>[2]Inventory!G37/1000</f>
        <v>4911.5079999999998</v>
      </c>
      <c r="G14" s="118">
        <f>[2]Inventory!H37/1000</f>
        <v>3710.3649999999998</v>
      </c>
      <c r="H14" s="118">
        <f>[2]Inventory!I37/1000</f>
        <v>1814.7180000000001</v>
      </c>
      <c r="I14" s="118">
        <f>[2]Inventory!J37/1000</f>
        <v>-739.71100000000001</v>
      </c>
      <c r="J14" s="118">
        <f>[2]Inventory!K37/1000</f>
        <v>-2626.03</v>
      </c>
      <c r="K14" s="118">
        <f>[2]Inventory!L37/1000</f>
        <v>-2768.569</v>
      </c>
      <c r="L14" s="118">
        <f>[2]Inventory!M37/1000</f>
        <v>-3528.6289999999999</v>
      </c>
      <c r="M14" s="118">
        <f>[2]Inventory!N37/1000</f>
        <v>-3536.1120000000001</v>
      </c>
      <c r="N14" s="118">
        <f>[2]Inventory!O37/1000</f>
        <v>-2679.07</v>
      </c>
      <c r="O14" s="119">
        <f>[2]Inventory!P37/1000</f>
        <v>-692.00699999999995</v>
      </c>
      <c r="P14" s="120"/>
      <c r="Q14" s="120"/>
      <c r="R14" s="102"/>
    </row>
    <row r="15" spans="2:18" ht="15" x14ac:dyDescent="0.3">
      <c r="B15" s="116">
        <v>4</v>
      </c>
      <c r="C15" s="114" t="s">
        <v>69</v>
      </c>
      <c r="D15" s="121">
        <f>[2]Inventory!$B$12</f>
        <v>3.3239471090716015</v>
      </c>
      <c r="E15" s="121">
        <f>[2]Inventory!$B$12</f>
        <v>3.3239471090716015</v>
      </c>
      <c r="F15" s="121">
        <f>[2]Inventory!$B$12</f>
        <v>3.3239471090716015</v>
      </c>
      <c r="G15" s="121">
        <f>[2]Inventory!$B$12</f>
        <v>3.3239471090716015</v>
      </c>
      <c r="H15" s="121">
        <f>[2]Inventory!$B$12</f>
        <v>3.3239471090716015</v>
      </c>
      <c r="I15" s="121">
        <f>[2]Inventory!J19</f>
        <v>3.2055515865826689</v>
      </c>
      <c r="J15" s="121">
        <f>[2]Inventory!K19</f>
        <v>3.2055515865826689</v>
      </c>
      <c r="K15" s="121">
        <f>[2]Inventory!L19</f>
        <v>3.2055515865826689</v>
      </c>
      <c r="L15" s="121">
        <f>[2]Inventory!M19</f>
        <v>3.2055515865826689</v>
      </c>
      <c r="M15" s="121">
        <f>[2]Inventory!N19</f>
        <v>3.2055515865826689</v>
      </c>
      <c r="N15" s="121">
        <f>[2]Inventory!O19</f>
        <v>3.2055515865826689</v>
      </c>
      <c r="O15" s="122">
        <f>[2]Inventory!P19</f>
        <v>3.2055424001235102</v>
      </c>
      <c r="P15" s="120"/>
      <c r="Q15" s="120"/>
      <c r="R15" s="102"/>
    </row>
    <row r="16" spans="2:18" ht="15" x14ac:dyDescent="0.3">
      <c r="B16" s="116">
        <v>5</v>
      </c>
      <c r="C16" s="117" t="s">
        <v>70</v>
      </c>
      <c r="D16" s="123">
        <f>[2]Inventory!E32</f>
        <v>3.3239471090716015</v>
      </c>
      <c r="E16" s="123">
        <f>[2]Inventory!F32</f>
        <v>3.3239471090716011</v>
      </c>
      <c r="F16" s="123">
        <f>[2]Inventory!G32</f>
        <v>3.3239471090716011</v>
      </c>
      <c r="G16" s="123">
        <f>[2]Inventory!H32</f>
        <v>3.3239471090715997</v>
      </c>
      <c r="H16" s="123">
        <f>[2]Inventory!I32</f>
        <v>3.3239471090715971</v>
      </c>
      <c r="I16" s="123">
        <f>[2]Inventory!J32</f>
        <v>3.2786278340430264</v>
      </c>
      <c r="J16" s="123">
        <f>[2]Inventory!K32</f>
        <v>3.2365306286630706</v>
      </c>
      <c r="K16" s="123">
        <f>[2]Inventory!L32</f>
        <v>3.2248250571610946</v>
      </c>
      <c r="L16" s="123">
        <f>[2]Inventory!M32</f>
        <v>3.218560247522134</v>
      </c>
      <c r="M16" s="123">
        <f>[2]Inventory!N32</f>
        <v>3.2153639811238954</v>
      </c>
      <c r="N16" s="123">
        <f>[2]Inventory!O32</f>
        <v>3.2138240440732599</v>
      </c>
      <c r="O16" s="124">
        <f>[2]Inventory!P32</f>
        <v>3.2135014077119051</v>
      </c>
      <c r="P16" s="120"/>
      <c r="Q16" s="120"/>
      <c r="R16" s="102"/>
    </row>
    <row r="17" spans="2:18" ht="15" x14ac:dyDescent="0.3">
      <c r="B17" s="116"/>
      <c r="C17" s="114"/>
      <c r="D17" s="114"/>
      <c r="E17" s="114"/>
      <c r="F17" s="114"/>
      <c r="G17" s="114"/>
      <c r="H17" s="114"/>
      <c r="I17" s="114"/>
      <c r="J17" s="114"/>
      <c r="K17" s="114"/>
      <c r="L17" s="114"/>
      <c r="M17" s="114"/>
      <c r="N17" s="114"/>
      <c r="O17" s="115"/>
      <c r="P17" s="103"/>
      <c r="Q17" s="103"/>
      <c r="R17" s="102"/>
    </row>
    <row r="18" spans="2:18" ht="15" x14ac:dyDescent="0.3">
      <c r="B18" s="116"/>
      <c r="C18" s="117" t="s">
        <v>71</v>
      </c>
      <c r="D18" s="114"/>
      <c r="E18" s="114"/>
      <c r="F18" s="114"/>
      <c r="G18" s="114"/>
      <c r="H18" s="114"/>
      <c r="I18" s="114"/>
      <c r="J18" s="114"/>
      <c r="K18" s="114"/>
      <c r="L18" s="114"/>
      <c r="M18" s="114"/>
      <c r="N18" s="114"/>
      <c r="O18" s="115"/>
      <c r="P18" s="103"/>
      <c r="Q18" s="103"/>
      <c r="R18" s="102"/>
    </row>
    <row r="19" spans="2:18" ht="15" x14ac:dyDescent="0.3">
      <c r="B19" s="116">
        <v>6</v>
      </c>
      <c r="C19" s="114" t="s">
        <v>72</v>
      </c>
      <c r="D19" s="125">
        <f>[2]Inventory!E23/1000</f>
        <v>59042.921163877327</v>
      </c>
      <c r="E19" s="125">
        <f>[2]Inventory!F23/1000</f>
        <v>52750.955202173507</v>
      </c>
      <c r="F19" s="125">
        <f>[2]Inventory!G23/1000</f>
        <v>38655.368584343618</v>
      </c>
      <c r="G19" s="125">
        <f>[2]Inventory!H23/1000</f>
        <v>22329.775766561575</v>
      </c>
      <c r="H19" s="125">
        <f>[2]Inventory!I23/1000</f>
        <v>9996.7187512111213</v>
      </c>
      <c r="I19" s="125">
        <f>[2]Inventory!J23/1000</f>
        <v>3964.6921013309229</v>
      </c>
      <c r="J19" s="125">
        <f>[2]Inventory!K23/1000</f>
        <v>6335.8738709935751</v>
      </c>
      <c r="K19" s="125">
        <f>[2]Inventory!L23/1000</f>
        <v>14753.748503907262</v>
      </c>
      <c r="L19" s="125">
        <f>[2]Inventory!M23/1000</f>
        <v>23628.539254420855</v>
      </c>
      <c r="M19" s="125">
        <f>[2]Inventory!N23/1000</f>
        <v>34939.741543832468</v>
      </c>
      <c r="N19" s="125">
        <f>[2]Inventory!O23/1000</f>
        <v>46274.930975766481</v>
      </c>
      <c r="O19" s="126">
        <f>[2]Inventory!P23/1000</f>
        <v>54862.828064832509</v>
      </c>
      <c r="P19" s="103"/>
      <c r="Q19" s="103"/>
      <c r="R19" s="102"/>
    </row>
    <row r="20" spans="2:18" ht="15" x14ac:dyDescent="0.3">
      <c r="B20" s="116">
        <v>7</v>
      </c>
      <c r="C20" s="114" t="s">
        <v>73</v>
      </c>
      <c r="D20" s="125">
        <f>[2]Inventory!E30/1000</f>
        <v>52750.955202173507</v>
      </c>
      <c r="E20" s="125">
        <f>[2]Inventory!F30/1000</f>
        <v>38655.368584343618</v>
      </c>
      <c r="F20" s="125">
        <f>[2]Inventory!G30/1000</f>
        <v>22329.775766561575</v>
      </c>
      <c r="G20" s="125">
        <f>[2]Inventory!H30/1000</f>
        <v>9996.7187512111213</v>
      </c>
      <c r="H20" s="125">
        <f>[2]Inventory!I30/1000</f>
        <v>3964.6921013309229</v>
      </c>
      <c r="I20" s="125">
        <f>[2]Inventory!J30/1000</f>
        <v>6335.8738709935751</v>
      </c>
      <c r="J20" s="125">
        <f>[2]Inventory!K30/1000</f>
        <v>14753.748503907262</v>
      </c>
      <c r="K20" s="125">
        <f>[2]Inventory!L30/1000</f>
        <v>23628.539254420855</v>
      </c>
      <c r="L20" s="125">
        <f>[2]Inventory!M30/1000</f>
        <v>34939.741543832468</v>
      </c>
      <c r="M20" s="125">
        <f>[2]Inventory!N30/1000</f>
        <v>46274.930975766481</v>
      </c>
      <c r="N20" s="125">
        <f>[2]Inventory!O30/1000</f>
        <v>54862.828064832509</v>
      </c>
      <c r="O20" s="126">
        <f>[2]Inventory!P30/1000</f>
        <v>57081.085844514782</v>
      </c>
      <c r="P20" s="103"/>
      <c r="Q20" s="103"/>
      <c r="R20" s="102"/>
    </row>
    <row r="21" spans="2:18" ht="15" x14ac:dyDescent="0.3">
      <c r="B21" s="116"/>
      <c r="C21" s="114"/>
      <c r="D21" s="114"/>
      <c r="E21" s="114"/>
      <c r="F21" s="114"/>
      <c r="G21" s="114"/>
      <c r="H21" s="114"/>
      <c r="I21" s="114"/>
      <c r="J21" s="114"/>
      <c r="K21" s="114"/>
      <c r="L21" s="114"/>
      <c r="M21" s="114"/>
      <c r="N21" s="114"/>
      <c r="O21" s="115"/>
      <c r="P21" s="103"/>
      <c r="Q21" s="103"/>
      <c r="R21" s="102"/>
    </row>
    <row r="22" spans="2:18" ht="15" x14ac:dyDescent="0.3">
      <c r="B22" s="116">
        <v>8</v>
      </c>
      <c r="C22" s="117" t="s">
        <v>74</v>
      </c>
      <c r="D22" s="125">
        <f>[2]Inventory!E25/1000</f>
        <v>6291.9659617038151</v>
      </c>
      <c r="E22" s="125">
        <f>[2]Inventory!F25/1000</f>
        <v>14095.586617829887</v>
      </c>
      <c r="F22" s="125">
        <f>[2]Inventory!G25/1000</f>
        <v>16325.592817782042</v>
      </c>
      <c r="G22" s="125">
        <f>[2]Inventory!H25/1000</f>
        <v>12333.057015350454</v>
      </c>
      <c r="H22" s="125">
        <f>[2]Inventory!I25/1000</f>
        <v>6032.0266498801984</v>
      </c>
      <c r="I22" s="125">
        <f>[2]Inventory!J25/1000</f>
        <v>-2371.1817696626526</v>
      </c>
      <c r="J22" s="125">
        <f>[2]Inventory!K25/1000</f>
        <v>-8417.8746329136866</v>
      </c>
      <c r="K22" s="125">
        <f>[2]Inventory!L25/1000</f>
        <v>-8874.7907505135936</v>
      </c>
      <c r="L22" s="125">
        <f>[2]Inventory!M25/1000</f>
        <v>-11311.202289411616</v>
      </c>
      <c r="M22" s="125">
        <f>[2]Inventory!N25/1000</f>
        <v>-11335.189431934014</v>
      </c>
      <c r="N22" s="125">
        <f>[2]Inventory!O25/1000</f>
        <v>-8587.8970890660312</v>
      </c>
      <c r="O22" s="126">
        <f>[2]Inventory!P25/1000</f>
        <v>-2218.2577796822698</v>
      </c>
      <c r="P22" s="127"/>
      <c r="Q22" s="127"/>
      <c r="R22" s="102"/>
    </row>
    <row r="23" spans="2:18" ht="15" x14ac:dyDescent="0.3">
      <c r="B23" s="116"/>
      <c r="C23" s="114"/>
      <c r="D23" s="114"/>
      <c r="E23" s="114"/>
      <c r="F23" s="114"/>
      <c r="G23" s="114"/>
      <c r="H23" s="114"/>
      <c r="I23" s="114"/>
      <c r="J23" s="114"/>
      <c r="K23" s="114"/>
      <c r="L23" s="114"/>
      <c r="M23" s="114"/>
      <c r="N23" s="114"/>
      <c r="O23" s="115"/>
      <c r="P23" s="103"/>
      <c r="Q23" s="103"/>
      <c r="R23" s="102"/>
    </row>
    <row r="24" spans="2:18" ht="15" x14ac:dyDescent="0.3">
      <c r="B24" s="113"/>
      <c r="C24" s="128"/>
      <c r="D24" s="114"/>
      <c r="E24" s="114"/>
      <c r="F24" s="114"/>
      <c r="G24" s="114"/>
      <c r="H24" s="114"/>
      <c r="I24" s="114"/>
      <c r="J24" s="114"/>
      <c r="K24" s="114"/>
      <c r="L24" s="114"/>
      <c r="M24" s="114"/>
      <c r="N24" s="114"/>
      <c r="O24" s="115"/>
      <c r="P24" s="103"/>
      <c r="Q24" s="103"/>
      <c r="R24" s="102"/>
    </row>
    <row r="25" spans="2:18" ht="15.75" thickBot="1" x14ac:dyDescent="0.35">
      <c r="B25" s="129"/>
      <c r="C25" s="130"/>
      <c r="D25" s="131"/>
      <c r="E25" s="131"/>
      <c r="F25" s="131"/>
      <c r="G25" s="131"/>
      <c r="H25" s="131"/>
      <c r="I25" s="131"/>
      <c r="J25" s="131"/>
      <c r="K25" s="131"/>
      <c r="L25" s="131"/>
      <c r="M25" s="131"/>
      <c r="N25" s="131"/>
      <c r="O25" s="132"/>
      <c r="P25" s="103"/>
      <c r="Q25" s="103"/>
      <c r="R25" s="102"/>
    </row>
    <row r="26" spans="2:18" ht="15" x14ac:dyDescent="0.3">
      <c r="B26" s="102"/>
      <c r="C26" s="133"/>
      <c r="D26" s="134"/>
      <c r="E26" s="134"/>
      <c r="F26" s="134"/>
      <c r="G26" s="134"/>
      <c r="H26" s="134"/>
      <c r="I26" s="134"/>
      <c r="J26" s="134"/>
      <c r="K26" s="134"/>
      <c r="L26" s="134"/>
      <c r="M26" s="134"/>
      <c r="N26" s="134"/>
      <c r="O26" s="134"/>
      <c r="P26" s="103"/>
      <c r="Q26" s="103"/>
      <c r="R26" s="102"/>
    </row>
    <row r="27" spans="2:18" ht="13.5" thickBot="1" x14ac:dyDescent="0.3">
      <c r="B27" s="102"/>
      <c r="C27" s="135"/>
      <c r="D27" s="102"/>
      <c r="E27" s="102"/>
      <c r="F27" s="102"/>
      <c r="G27" s="102"/>
      <c r="H27" s="102"/>
      <c r="I27" s="102"/>
      <c r="J27" s="102"/>
      <c r="K27" s="102"/>
      <c r="L27" s="102"/>
      <c r="M27" s="102"/>
      <c r="N27" s="102"/>
      <c r="O27" s="102"/>
      <c r="P27" s="103"/>
      <c r="Q27" s="103"/>
      <c r="R27" s="102"/>
    </row>
    <row r="28" spans="2:18" x14ac:dyDescent="0.25">
      <c r="B28" s="136"/>
      <c r="C28" s="137"/>
      <c r="D28" s="138">
        <f>'[2]Inventory Carrying Cost'!C1</f>
        <v>44256</v>
      </c>
      <c r="E28" s="138">
        <f>'[2]Inventory Carrying Cost'!D1</f>
        <v>44287</v>
      </c>
      <c r="F28" s="138">
        <f>'[2]Inventory Carrying Cost'!E1</f>
        <v>44317</v>
      </c>
      <c r="G28" s="138">
        <f>'[2]Inventory Carrying Cost'!F1</f>
        <v>44348</v>
      </c>
      <c r="H28" s="138">
        <f>'[2]Inventory Carrying Cost'!G1</f>
        <v>44378</v>
      </c>
      <c r="I28" s="138">
        <f>'[2]Inventory Carrying Cost'!H1</f>
        <v>44409</v>
      </c>
      <c r="J28" s="138">
        <f>'[2]Inventory Carrying Cost'!I1</f>
        <v>44440</v>
      </c>
      <c r="K28" s="138">
        <f>'[2]Inventory Carrying Cost'!J1</f>
        <v>44470</v>
      </c>
      <c r="L28" s="138">
        <f>'[2]Inventory Carrying Cost'!K1</f>
        <v>44501</v>
      </c>
      <c r="M28" s="138">
        <f>'[2]Inventory Carrying Cost'!L1</f>
        <v>44531</v>
      </c>
      <c r="N28" s="138">
        <f>'[2]Inventory Carrying Cost'!M1</f>
        <v>44562</v>
      </c>
      <c r="O28" s="138">
        <f>'[2]Inventory Carrying Cost'!N1</f>
        <v>44593</v>
      </c>
      <c r="P28" s="138">
        <f>'[2]Inventory Carrying Cost'!O1</f>
        <v>44621</v>
      </c>
      <c r="Q28" s="139" t="s">
        <v>4</v>
      </c>
      <c r="R28" s="102"/>
    </row>
    <row r="29" spans="2:18" ht="15" x14ac:dyDescent="0.3">
      <c r="B29" s="140" t="s">
        <v>5</v>
      </c>
      <c r="C29" s="141" t="s">
        <v>75</v>
      </c>
      <c r="D29" s="142"/>
      <c r="E29" s="142"/>
      <c r="F29" s="142"/>
      <c r="G29" s="142"/>
      <c r="H29" s="142"/>
      <c r="I29" s="142"/>
      <c r="J29" s="142"/>
      <c r="K29" s="142"/>
      <c r="L29" s="142"/>
      <c r="M29" s="142"/>
      <c r="N29" s="142"/>
      <c r="O29" s="142"/>
      <c r="P29" s="142"/>
      <c r="Q29" s="143"/>
      <c r="R29" s="102"/>
    </row>
    <row r="30" spans="2:18" x14ac:dyDescent="0.25">
      <c r="B30" s="116"/>
      <c r="C30" s="144"/>
      <c r="D30" s="145"/>
      <c r="E30" s="145"/>
      <c r="F30" s="145"/>
      <c r="G30" s="145"/>
      <c r="H30" s="145"/>
      <c r="I30" s="145"/>
      <c r="J30" s="145"/>
      <c r="K30" s="145"/>
      <c r="L30" s="145"/>
      <c r="M30" s="145"/>
      <c r="N30" s="145"/>
      <c r="O30" s="145"/>
      <c r="P30" s="145"/>
      <c r="Q30" s="146"/>
      <c r="R30" s="102"/>
    </row>
    <row r="31" spans="2:18" ht="10.5" customHeight="1" x14ac:dyDescent="0.25">
      <c r="B31" s="116"/>
      <c r="C31" s="144"/>
      <c r="D31" s="196" t="s">
        <v>76</v>
      </c>
      <c r="E31" s="196"/>
      <c r="F31" s="196"/>
      <c r="G31" s="196"/>
      <c r="H31" s="196"/>
      <c r="I31" s="196"/>
      <c r="J31" s="196"/>
      <c r="K31" s="196"/>
      <c r="L31" s="145"/>
      <c r="M31" s="145"/>
      <c r="N31" s="145"/>
      <c r="O31" s="145"/>
      <c r="P31" s="145"/>
      <c r="Q31" s="146"/>
      <c r="R31" s="102"/>
    </row>
    <row r="32" spans="2:18" x14ac:dyDescent="0.25">
      <c r="B32" s="116"/>
      <c r="C32" s="144"/>
      <c r="D32" s="147"/>
      <c r="E32" s="147"/>
      <c r="F32" s="147"/>
      <c r="G32" s="147"/>
      <c r="H32" s="147"/>
      <c r="I32" s="147"/>
      <c r="J32" s="147"/>
      <c r="K32" s="147"/>
      <c r="L32" s="148"/>
      <c r="M32" s="148"/>
      <c r="N32" s="148"/>
      <c r="O32" s="148"/>
      <c r="P32" s="148"/>
      <c r="Q32" s="146"/>
      <c r="R32" s="102"/>
    </row>
    <row r="33" spans="2:18" x14ac:dyDescent="0.25">
      <c r="B33" s="116"/>
      <c r="C33" s="144"/>
      <c r="D33" s="103"/>
      <c r="E33" s="103"/>
      <c r="F33" s="103"/>
      <c r="G33" s="103"/>
      <c r="H33" s="103"/>
      <c r="I33" s="103"/>
      <c r="J33" s="103"/>
      <c r="K33" s="103"/>
      <c r="L33" s="148"/>
      <c r="M33" s="148"/>
      <c r="N33" s="148"/>
      <c r="O33" s="148"/>
      <c r="P33" s="148"/>
      <c r="Q33" s="146"/>
      <c r="R33" s="102"/>
    </row>
    <row r="34" spans="2:18" x14ac:dyDescent="0.25">
      <c r="B34" s="116">
        <v>9</v>
      </c>
      <c r="C34" s="103" t="s">
        <v>77</v>
      </c>
      <c r="D34" s="149">
        <f>'[2]Inventory Carrying Cost'!C7/1000</f>
        <v>9309.4023048499148</v>
      </c>
      <c r="E34" s="149">
        <f>'[2]Inventory Carrying Cost'!D7/1000</f>
        <v>8253.8727920190831</v>
      </c>
      <c r="F34" s="149">
        <f>'[2]Inventory Carrying Cost'!E7/1000</f>
        <v>15174.158462363277</v>
      </c>
      <c r="G34" s="149">
        <f>'[2]Inventory Carrying Cost'!F7/1000</f>
        <v>22724.04246692665</v>
      </c>
      <c r="H34" s="149">
        <f>'[2]Inventory Carrying Cost'!G7/1000</f>
        <v>34686.782254393802</v>
      </c>
      <c r="I34" s="149">
        <f>'[2]Inventory Carrying Cost'!H7/1000</f>
        <v>45834.035093250153</v>
      </c>
      <c r="J34" s="149">
        <f>'[2]Inventory Carrying Cost'!I7/1000</f>
        <v>55894.591304565372</v>
      </c>
      <c r="K34" s="149">
        <f>'[2]Inventory Carrying Cost'!J7/1000</f>
        <v>59042.921163877327</v>
      </c>
      <c r="L34" s="149">
        <f>'[2]Inventory Carrying Cost'!K7/1000</f>
        <v>52750.955202173507</v>
      </c>
      <c r="M34" s="149">
        <f>'[2]Inventory Carrying Cost'!L7/1000</f>
        <v>38655.368584343618</v>
      </c>
      <c r="N34" s="149">
        <f>'[2]Inventory Carrying Cost'!M7/1000</f>
        <v>22329.775766561575</v>
      </c>
      <c r="O34" s="149">
        <f>'[2]Inventory Carrying Cost'!N7/1000</f>
        <v>9996.7187512111213</v>
      </c>
      <c r="P34" s="149">
        <f>'[2]Inventory Carrying Cost'!O7/1000</f>
        <v>3964.6921013309229</v>
      </c>
      <c r="Q34" s="146"/>
      <c r="R34" s="102"/>
    </row>
    <row r="35" spans="2:18" x14ac:dyDescent="0.25">
      <c r="B35" s="116">
        <v>10</v>
      </c>
      <c r="C35" s="103" t="s">
        <v>78</v>
      </c>
      <c r="D35" s="103"/>
      <c r="E35" s="149">
        <f>'[2]Inventory Carrying Cost'!D9/1000</f>
        <v>8781.637548434499</v>
      </c>
      <c r="F35" s="149">
        <f>'[2]Inventory Carrying Cost'!E9/1000</f>
        <v>11714.015627191178</v>
      </c>
      <c r="G35" s="149">
        <f>'[2]Inventory Carrying Cost'!F9/1000</f>
        <v>18949.100464644962</v>
      </c>
      <c r="H35" s="149">
        <f>'[2]Inventory Carrying Cost'!G9/1000</f>
        <v>28705.412360660226</v>
      </c>
      <c r="I35" s="149">
        <f>'[2]Inventory Carrying Cost'!H9/1000</f>
        <v>40260.408673821978</v>
      </c>
      <c r="J35" s="149">
        <f>'[2]Inventory Carrying Cost'!I9/1000</f>
        <v>50864.313198907759</v>
      </c>
      <c r="K35" s="149">
        <f>'[2]Inventory Carrying Cost'!J9/1000</f>
        <v>57468.75623422135</v>
      </c>
      <c r="L35" s="149">
        <f>'[2]Inventory Carrying Cost'!K9/1000</f>
        <v>55896.938183025421</v>
      </c>
      <c r="M35" s="149">
        <f>'[2]Inventory Carrying Cost'!L9/1000</f>
        <v>45703.161893258562</v>
      </c>
      <c r="N35" s="149">
        <f>'[2]Inventory Carrying Cost'!M9/1000</f>
        <v>30492.572175452598</v>
      </c>
      <c r="O35" s="149">
        <f>'[2]Inventory Carrying Cost'!N9/1000</f>
        <v>16163.247258886349</v>
      </c>
      <c r="P35" s="149">
        <f>'[2]Inventory Carrying Cost'!O9/1000</f>
        <v>6980.7054262710226</v>
      </c>
      <c r="Q35" s="146"/>
      <c r="R35" s="102"/>
    </row>
    <row r="36" spans="2:18" x14ac:dyDescent="0.25">
      <c r="B36" s="116"/>
      <c r="C36" s="144"/>
      <c r="D36" s="103"/>
      <c r="E36" s="149"/>
      <c r="F36" s="149"/>
      <c r="G36" s="149"/>
      <c r="H36" s="149"/>
      <c r="I36" s="149"/>
      <c r="J36" s="149"/>
      <c r="K36" s="149"/>
      <c r="L36" s="149"/>
      <c r="M36" s="149"/>
      <c r="N36" s="149"/>
      <c r="O36" s="149"/>
      <c r="P36" s="149"/>
      <c r="Q36" s="146"/>
      <c r="R36" s="102"/>
    </row>
    <row r="37" spans="2:18" x14ac:dyDescent="0.25">
      <c r="B37" s="116">
        <v>11</v>
      </c>
      <c r="C37" s="103" t="s">
        <v>79</v>
      </c>
      <c r="D37" s="103"/>
      <c r="E37" s="150">
        <f>'[2]Inventory Carrying Cost'!D11</f>
        <v>1.1000000000000001E-3</v>
      </c>
      <c r="F37" s="150">
        <f>'[2]Inventory Carrying Cost'!E11</f>
        <v>1.1000000000000001E-3</v>
      </c>
      <c r="G37" s="150">
        <f>'[2]Inventory Carrying Cost'!F11</f>
        <v>1.1999999999999999E-3</v>
      </c>
      <c r="H37" s="150">
        <f>'[2]Inventory Carrying Cost'!G11</f>
        <v>1.5E-3</v>
      </c>
      <c r="I37" s="150">
        <f>'[2]Inventory Carrying Cost'!H11</f>
        <v>1.6999999999999999E-3</v>
      </c>
      <c r="J37" s="150">
        <f>'[2]Inventory Carrying Cost'!I11</f>
        <v>1.6999999999999999E-3</v>
      </c>
      <c r="K37" s="150">
        <f>'[2]Inventory Carrying Cost'!J11</f>
        <v>1.6999999999999999E-3</v>
      </c>
      <c r="L37" s="150">
        <f>'[2]Inventory Carrying Cost'!K11</f>
        <v>1.6000000000000001E-3</v>
      </c>
      <c r="M37" s="150">
        <f>'[2]Inventory Carrying Cost'!L11</f>
        <v>1.6000000000000001E-3</v>
      </c>
      <c r="N37" s="150">
        <f>'[2]Inventory Carrying Cost'!M11</f>
        <v>2.3E-3</v>
      </c>
      <c r="O37" s="150">
        <f>'[2]Inventory Carrying Cost'!N11</f>
        <v>2.3E-3</v>
      </c>
      <c r="P37" s="150">
        <f>'[2]Inventory Carrying Cost'!O11</f>
        <v>2.3E-3</v>
      </c>
      <c r="Q37" s="146"/>
      <c r="R37" s="102"/>
    </row>
    <row r="38" spans="2:18" ht="13.5" x14ac:dyDescent="0.3">
      <c r="B38" s="116">
        <v>12</v>
      </c>
      <c r="C38" s="103" t="s">
        <v>80</v>
      </c>
      <c r="D38" s="103"/>
      <c r="E38" s="149">
        <f>'[2]Inventory Carrying Cost'!D13/1000</f>
        <v>0.79395627150229731</v>
      </c>
      <c r="F38" s="149">
        <f>'[2]Inventory Carrying Cost'!E13/1000</f>
        <v>1.0943778983211485</v>
      </c>
      <c r="G38" s="149">
        <f>'[2]Inventory Carrying Cost'!F13/1000</f>
        <v>1.8689523745951191</v>
      </c>
      <c r="H38" s="149">
        <f>'[2]Inventory Carrying Cost'!G13/1000</f>
        <v>3.6569908897827412</v>
      </c>
      <c r="I38" s="149">
        <f>'[2]Inventory Carrying Cost'!H13/1000</f>
        <v>5.8129411975627887</v>
      </c>
      <c r="J38" s="149">
        <f>'[2]Inventory Carrying Cost'!I13/1000</f>
        <v>7.1070684195734133</v>
      </c>
      <c r="K38" s="149">
        <f>'[2]Inventory Carrying Cost'!J13/1000</f>
        <v>8.2975437083382602</v>
      </c>
      <c r="L38" s="149">
        <f>'[2]Inventory Carrying Cost'!K13/1000</f>
        <v>7.3508302268088217</v>
      </c>
      <c r="M38" s="149">
        <f>'[2]Inventory Carrying Cost'!L13/1000</f>
        <v>6.2106214517962322</v>
      </c>
      <c r="N38" s="149">
        <f>'[2]Inventory Carrying Cost'!M13/1000</f>
        <v>5.9564942359171784</v>
      </c>
      <c r="O38" s="149">
        <f>'[2]Inventory Carrying Cost'!N13/1000</f>
        <v>2.8518167766363858</v>
      </c>
      <c r="P38" s="151">
        <f>'[2]Inventory Carrying Cost'!O13/1000</f>
        <v>1.3636282106660929</v>
      </c>
      <c r="Q38" s="152"/>
      <c r="R38" s="102"/>
    </row>
    <row r="39" spans="2:18" ht="13.5" x14ac:dyDescent="0.3">
      <c r="B39" s="116">
        <v>13</v>
      </c>
      <c r="C39" s="103" t="s">
        <v>81</v>
      </c>
      <c r="D39" s="103"/>
      <c r="E39" s="153"/>
      <c r="F39" s="153"/>
      <c r="G39" s="153"/>
      <c r="H39" s="153"/>
      <c r="I39" s="153"/>
      <c r="J39" s="153"/>
      <c r="K39" s="153"/>
      <c r="L39" s="153"/>
      <c r="M39" s="153"/>
      <c r="N39" s="153"/>
      <c r="O39" s="153"/>
      <c r="P39" s="154"/>
      <c r="Q39" s="152">
        <f>SUM(E38:P38)</f>
        <v>52.36522166150047</v>
      </c>
      <c r="R39" s="102"/>
    </row>
    <row r="40" spans="2:18" ht="14.25" thickBot="1" x14ac:dyDescent="0.35">
      <c r="B40" s="155">
        <v>14</v>
      </c>
      <c r="C40" s="156" t="s">
        <v>82</v>
      </c>
      <c r="D40" s="156"/>
      <c r="E40" s="157"/>
      <c r="F40" s="157"/>
      <c r="G40" s="157"/>
      <c r="H40" s="157"/>
      <c r="I40" s="157"/>
      <c r="J40" s="157"/>
      <c r="K40" s="157"/>
      <c r="L40" s="157"/>
      <c r="M40" s="157"/>
      <c r="N40" s="157"/>
      <c r="O40" s="157"/>
      <c r="P40" s="158"/>
      <c r="Q40" s="159">
        <f>Q39/12</f>
        <v>4.3637684717917056</v>
      </c>
      <c r="R40" s="102"/>
    </row>
    <row r="41" spans="2:18" x14ac:dyDescent="0.25">
      <c r="B41" s="102"/>
      <c r="C41" s="135"/>
      <c r="D41" s="103"/>
      <c r="E41" s="103"/>
      <c r="F41" s="103"/>
      <c r="G41" s="103"/>
      <c r="H41" s="160"/>
      <c r="I41" s="103"/>
      <c r="J41" s="103"/>
      <c r="K41" s="103"/>
      <c r="L41" s="103"/>
      <c r="M41" s="103"/>
      <c r="N41" s="103"/>
      <c r="O41" s="103"/>
      <c r="P41" s="103"/>
      <c r="Q41" s="103"/>
      <c r="R41" s="102"/>
    </row>
    <row r="42" spans="2:18" x14ac:dyDescent="0.25">
      <c r="B42" s="102"/>
      <c r="C42" s="161" t="s">
        <v>83</v>
      </c>
      <c r="D42" s="102"/>
      <c r="E42" s="102"/>
      <c r="F42" s="102"/>
      <c r="G42" s="102"/>
      <c r="H42" s="102"/>
      <c r="I42" s="102"/>
      <c r="J42" s="102"/>
      <c r="K42" s="102"/>
      <c r="L42" s="102"/>
      <c r="M42" s="102"/>
      <c r="N42" s="102"/>
      <c r="O42" s="102"/>
      <c r="P42" s="103"/>
      <c r="Q42" s="103"/>
      <c r="R42" s="102"/>
    </row>
    <row r="43" spans="2:18" x14ac:dyDescent="0.25">
      <c r="B43" s="102"/>
      <c r="C43" s="135"/>
      <c r="D43" s="102"/>
      <c r="E43" s="102"/>
      <c r="F43" s="102"/>
      <c r="G43" s="102"/>
      <c r="H43" s="102"/>
      <c r="I43" s="102"/>
      <c r="J43" s="102"/>
      <c r="K43" s="102"/>
      <c r="L43" s="102"/>
      <c r="M43" s="102"/>
      <c r="N43" s="102"/>
      <c r="O43" s="102"/>
      <c r="P43" s="103"/>
      <c r="Q43" s="103"/>
      <c r="R43" s="102"/>
    </row>
    <row r="45" spans="2:18" x14ac:dyDescent="0.25">
      <c r="D45" s="162"/>
      <c r="E45" s="162"/>
      <c r="F45" s="162"/>
      <c r="G45" s="162"/>
      <c r="H45" s="162"/>
      <c r="I45" s="162"/>
      <c r="J45" s="162"/>
      <c r="K45" s="162"/>
      <c r="L45" s="162"/>
      <c r="M45" s="162"/>
      <c r="N45" s="162"/>
      <c r="O45" s="162"/>
      <c r="P45" s="163"/>
      <c r="Q45" s="163"/>
    </row>
  </sheetData>
  <mergeCells count="5">
    <mergeCell ref="C2:O2"/>
    <mergeCell ref="C3:O3"/>
    <mergeCell ref="C4:O4"/>
    <mergeCell ref="C5:O5"/>
    <mergeCell ref="D31:K31"/>
  </mergeCells>
  <printOptions horizontalCentered="1" verticalCentered="1"/>
  <pageMargins left="0.25" right="0.25" top="0.25" bottom="0.25" header="0.511811023622047" footer="0.511811023622047"/>
  <pageSetup scale="71" fitToHeight="0" orientation="landscape"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zoomScaleNormal="100" zoomScaleSheetLayoutView="100" workbookViewId="0">
      <selection activeCell="G23" sqref="G23"/>
    </sheetView>
  </sheetViews>
  <sheetFormatPr defaultColWidth="7.28515625" defaultRowHeight="12.75" x14ac:dyDescent="0.25"/>
  <cols>
    <col min="1" max="1" width="7.28515625" style="104"/>
    <col min="2" max="2" width="5.7109375" style="104" customWidth="1"/>
    <col min="3" max="3" width="38" style="104" customWidth="1"/>
    <col min="4" max="15" width="10" style="104" customWidth="1"/>
    <col min="16" max="16" width="10" style="164" customWidth="1"/>
    <col min="17" max="17" width="8.5703125" style="164" customWidth="1"/>
    <col min="18" max="18" width="3.140625" style="104" customWidth="1"/>
    <col min="19" max="16384" width="7.28515625" style="104"/>
  </cols>
  <sheetData>
    <row r="1" spans="2:18" ht="25.5" customHeight="1" x14ac:dyDescent="0.5">
      <c r="B1" s="102"/>
      <c r="C1" s="165"/>
      <c r="D1" s="102"/>
      <c r="E1" s="102"/>
      <c r="F1" s="102"/>
      <c r="G1" s="102"/>
      <c r="H1" s="102"/>
      <c r="I1" s="102"/>
      <c r="J1" s="102"/>
      <c r="K1" s="102"/>
      <c r="L1" s="102"/>
      <c r="M1" s="102"/>
      <c r="N1" s="102"/>
      <c r="O1" s="102"/>
      <c r="P1" s="103"/>
      <c r="Q1" s="3" t="s">
        <v>63</v>
      </c>
      <c r="R1" s="102"/>
    </row>
    <row r="2" spans="2:18" ht="27" x14ac:dyDescent="0.5">
      <c r="B2" s="102"/>
      <c r="C2" s="197" t="s">
        <v>1</v>
      </c>
      <c r="D2" s="197"/>
      <c r="E2" s="197"/>
      <c r="F2" s="197"/>
      <c r="G2" s="197"/>
      <c r="H2" s="197"/>
      <c r="I2" s="197"/>
      <c r="J2" s="197"/>
      <c r="K2" s="197"/>
      <c r="L2" s="197"/>
      <c r="M2" s="197"/>
      <c r="N2" s="197"/>
      <c r="O2" s="197"/>
      <c r="P2" s="103"/>
      <c r="Q2" s="103"/>
      <c r="R2" s="102"/>
    </row>
    <row r="3" spans="2:18" ht="21" x14ac:dyDescent="0.4">
      <c r="B3" s="102"/>
      <c r="C3" s="186" t="s">
        <v>64</v>
      </c>
      <c r="D3" s="186"/>
      <c r="E3" s="186"/>
      <c r="F3" s="186"/>
      <c r="G3" s="186"/>
      <c r="H3" s="186"/>
      <c r="I3" s="186"/>
      <c r="J3" s="186"/>
      <c r="K3" s="186"/>
      <c r="L3" s="186"/>
      <c r="M3" s="186"/>
      <c r="N3" s="186"/>
      <c r="O3" s="186"/>
      <c r="P3" s="105"/>
      <c r="Q3" s="103"/>
      <c r="R3" s="102"/>
    </row>
    <row r="4" spans="2:18" ht="21" x14ac:dyDescent="0.4">
      <c r="B4" s="102"/>
      <c r="C4" s="186" t="s">
        <v>33</v>
      </c>
      <c r="D4" s="186"/>
      <c r="E4" s="186"/>
      <c r="F4" s="186"/>
      <c r="G4" s="186"/>
      <c r="H4" s="186"/>
      <c r="I4" s="186"/>
      <c r="J4" s="186"/>
      <c r="K4" s="186"/>
      <c r="L4" s="186"/>
      <c r="M4" s="186"/>
      <c r="N4" s="186"/>
      <c r="O4" s="186"/>
      <c r="P4" s="103"/>
      <c r="Q4" s="103"/>
      <c r="R4" s="102"/>
    </row>
    <row r="5" spans="2:18" ht="21" x14ac:dyDescent="0.4">
      <c r="B5" s="102"/>
      <c r="C5" s="186"/>
      <c r="D5" s="186"/>
      <c r="E5" s="186"/>
      <c r="F5" s="186"/>
      <c r="G5" s="186"/>
      <c r="H5" s="186"/>
      <c r="I5" s="186"/>
      <c r="J5" s="186"/>
      <c r="K5" s="186"/>
      <c r="L5" s="186"/>
      <c r="M5" s="186"/>
      <c r="N5" s="186"/>
      <c r="O5" s="186"/>
      <c r="P5" s="103"/>
      <c r="Q5" s="103"/>
      <c r="R5" s="102"/>
    </row>
    <row r="6" spans="2:18" ht="15.75" thickBot="1" x14ac:dyDescent="0.35">
      <c r="B6" s="102"/>
      <c r="C6" s="52"/>
      <c r="D6" s="106">
        <v>1</v>
      </c>
      <c r="E6" s="106">
        <v>2</v>
      </c>
      <c r="F6" s="106">
        <v>3</v>
      </c>
      <c r="G6" s="107">
        <v>4</v>
      </c>
      <c r="H6" s="107">
        <v>5</v>
      </c>
      <c r="I6" s="107">
        <v>6</v>
      </c>
      <c r="J6" s="107">
        <v>7</v>
      </c>
      <c r="K6" s="107">
        <v>8</v>
      </c>
      <c r="L6" s="107">
        <v>9</v>
      </c>
      <c r="M6" s="107">
        <v>10</v>
      </c>
      <c r="N6" s="107">
        <v>11</v>
      </c>
      <c r="O6" s="107">
        <v>12</v>
      </c>
      <c r="P6" s="103"/>
      <c r="Q6" s="103"/>
      <c r="R6" s="102"/>
    </row>
    <row r="7" spans="2:18" ht="21" customHeight="1" x14ac:dyDescent="0.3">
      <c r="B7" s="108"/>
      <c r="C7" s="109"/>
      <c r="D7" s="110">
        <f>'[3] Schedule 1.0 Forecast COGS -A '!D9</f>
        <v>44866</v>
      </c>
      <c r="E7" s="110">
        <f>'[3] Schedule 1.0 Forecast COGS -A '!E9</f>
        <v>44896</v>
      </c>
      <c r="F7" s="110">
        <f>'[3] Schedule 1.0 Forecast COGS -A '!F9</f>
        <v>44927</v>
      </c>
      <c r="G7" s="110">
        <f>'[3] Schedule 1.0 Forecast COGS -A '!G9</f>
        <v>44958</v>
      </c>
      <c r="H7" s="110">
        <f>'[3] Schedule 1.0 Forecast COGS -A '!H9</f>
        <v>44986</v>
      </c>
      <c r="I7" s="110">
        <f>'[3] Schedule 1.0 Forecast COGS -A '!I9</f>
        <v>45017</v>
      </c>
      <c r="J7" s="110">
        <f>'[3] Schedule 1.0 Forecast COGS -A '!J9</f>
        <v>45047</v>
      </c>
      <c r="K7" s="110">
        <f>'[3] Schedule 1.0 Forecast COGS -A '!K9</f>
        <v>45078</v>
      </c>
      <c r="L7" s="110">
        <f>'[3] Schedule 1.0 Forecast COGS -A '!L9</f>
        <v>45108</v>
      </c>
      <c r="M7" s="110">
        <f>'[3] Schedule 1.0 Forecast COGS -A '!M9</f>
        <v>45139</v>
      </c>
      <c r="N7" s="110">
        <f>'[3] Schedule 1.0 Forecast COGS -A '!N9</f>
        <v>45170</v>
      </c>
      <c r="O7" s="111">
        <f>'[3] Schedule 1.0 Forecast COGS -A '!O9</f>
        <v>45200</v>
      </c>
      <c r="P7" s="112"/>
      <c r="Q7" s="112"/>
      <c r="R7" s="102"/>
    </row>
    <row r="8" spans="2:18" ht="15" x14ac:dyDescent="0.3">
      <c r="B8" s="113"/>
      <c r="C8" s="114"/>
      <c r="D8" s="114"/>
      <c r="E8" s="114"/>
      <c r="F8" s="114"/>
      <c r="G8" s="114"/>
      <c r="H8" s="114"/>
      <c r="I8" s="114"/>
      <c r="J8" s="114"/>
      <c r="K8" s="114"/>
      <c r="L8" s="114"/>
      <c r="M8" s="114"/>
      <c r="N8" s="114"/>
      <c r="O8" s="115"/>
      <c r="P8" s="103"/>
      <c r="Q8" s="103"/>
      <c r="R8" s="102"/>
    </row>
    <row r="9" spans="2:18" ht="15" x14ac:dyDescent="0.3">
      <c r="B9" s="116" t="s">
        <v>5</v>
      </c>
      <c r="C9" s="117" t="s">
        <v>65</v>
      </c>
      <c r="D9" s="114"/>
      <c r="E9" s="114"/>
      <c r="F9" s="114"/>
      <c r="G9" s="114"/>
      <c r="H9" s="114"/>
      <c r="I9" s="114"/>
      <c r="J9" s="114"/>
      <c r="K9" s="114"/>
      <c r="L9" s="114"/>
      <c r="M9" s="114"/>
      <c r="N9" s="114"/>
      <c r="O9" s="115"/>
      <c r="P9" s="103"/>
      <c r="Q9" s="103"/>
      <c r="R9" s="102"/>
    </row>
    <row r="10" spans="2:18" ht="15" x14ac:dyDescent="0.3">
      <c r="B10" s="116"/>
      <c r="C10" s="114"/>
      <c r="D10" s="114"/>
      <c r="E10" s="114"/>
      <c r="F10" s="114"/>
      <c r="G10" s="114"/>
      <c r="H10" s="114"/>
      <c r="I10" s="114"/>
      <c r="J10" s="114"/>
      <c r="K10" s="114"/>
      <c r="L10" s="114"/>
      <c r="M10" s="114"/>
      <c r="N10" s="114"/>
      <c r="O10" s="115"/>
      <c r="P10" s="103"/>
      <c r="Q10" s="103"/>
      <c r="R10" s="102"/>
    </row>
    <row r="11" spans="2:18" ht="15" x14ac:dyDescent="0.3">
      <c r="B11" s="116">
        <v>1</v>
      </c>
      <c r="C11" s="114" t="s">
        <v>66</v>
      </c>
      <c r="D11" s="118">
        <f>[3]Inventory!E35/1000</f>
        <v>17762.894302000001</v>
      </c>
      <c r="E11" s="118">
        <f>[3]Inventory!F35/1000</f>
        <v>15857.506302000002</v>
      </c>
      <c r="F11" s="118">
        <f>[3]Inventory!G35/1000</f>
        <v>11614.897302000001</v>
      </c>
      <c r="G11" s="118">
        <f>[3]Inventory!H35/1000</f>
        <v>6716.2633020000012</v>
      </c>
      <c r="H11" s="118">
        <f>[3]Inventory!I35/1000</f>
        <v>3012.3033020000012</v>
      </c>
      <c r="I11" s="118">
        <f>[3]Inventory!J35/1000</f>
        <v>1192.8223020000012</v>
      </c>
      <c r="J11" s="118">
        <f>[3]Inventory!K35/1000</f>
        <v>1934.9293020000011</v>
      </c>
      <c r="K11" s="118">
        <f>[3]Inventory!L35/1000</f>
        <v>4560.5263020000011</v>
      </c>
      <c r="L11" s="118">
        <f>[3]Inventory!M35/1000</f>
        <v>7328.3793020000012</v>
      </c>
      <c r="M11" s="118">
        <f>[3]Inventory!N35/1000</f>
        <v>10855.060302000002</v>
      </c>
      <c r="N11" s="118">
        <f>[3]Inventory!O35/1000</f>
        <v>14389.266302000002</v>
      </c>
      <c r="O11" s="119">
        <f>[3]Inventory!P35/1000</f>
        <v>17067.638301999999</v>
      </c>
      <c r="P11" s="103"/>
      <c r="Q11" s="103"/>
      <c r="R11" s="102"/>
    </row>
    <row r="12" spans="2:18" ht="15" x14ac:dyDescent="0.3">
      <c r="B12" s="116">
        <v>2</v>
      </c>
      <c r="C12" s="114" t="s">
        <v>67</v>
      </c>
      <c r="D12" s="118">
        <f>[3]Inventory!E39/1000</f>
        <v>15857.506302000002</v>
      </c>
      <c r="E12" s="118">
        <f>[3]Inventory!F39/1000</f>
        <v>11614.897302000001</v>
      </c>
      <c r="F12" s="118">
        <f>[3]Inventory!G39/1000</f>
        <v>6716.2633020000012</v>
      </c>
      <c r="G12" s="118">
        <f>[3]Inventory!H39/1000</f>
        <v>3012.3033020000012</v>
      </c>
      <c r="H12" s="118">
        <f>[3]Inventory!I39/1000</f>
        <v>1192.8223020000012</v>
      </c>
      <c r="I12" s="118">
        <f>[3]Inventory!J39/1000</f>
        <v>1934.9293020000011</v>
      </c>
      <c r="J12" s="118">
        <f>[3]Inventory!K39/1000</f>
        <v>4560.5263020000011</v>
      </c>
      <c r="K12" s="118">
        <f>[3]Inventory!L39/1000</f>
        <v>7328.3793020000012</v>
      </c>
      <c r="L12" s="118">
        <f>[3]Inventory!M39/1000</f>
        <v>10855.060302000002</v>
      </c>
      <c r="M12" s="118">
        <f>[3]Inventory!N39/1000</f>
        <v>14389.266302000002</v>
      </c>
      <c r="N12" s="118">
        <f>[3]Inventory!O39/1000</f>
        <v>17067.638301999999</v>
      </c>
      <c r="O12" s="119">
        <f>[3]Inventory!P39/1000</f>
        <v>17762.894302000001</v>
      </c>
      <c r="P12" s="103"/>
      <c r="Q12" s="103"/>
      <c r="R12" s="102"/>
    </row>
    <row r="13" spans="2:18" ht="15" x14ac:dyDescent="0.3">
      <c r="B13" s="116"/>
      <c r="C13" s="114"/>
      <c r="D13" s="114"/>
      <c r="E13" s="114"/>
      <c r="F13" s="114"/>
      <c r="G13" s="114"/>
      <c r="H13" s="114"/>
      <c r="I13" s="114"/>
      <c r="J13" s="114"/>
      <c r="K13" s="114"/>
      <c r="L13" s="114"/>
      <c r="M13" s="114"/>
      <c r="N13" s="114"/>
      <c r="O13" s="115"/>
      <c r="P13" s="103"/>
      <c r="Q13" s="103"/>
      <c r="R13" s="102"/>
    </row>
    <row r="14" spans="2:18" ht="15" x14ac:dyDescent="0.3">
      <c r="B14" s="116">
        <v>3</v>
      </c>
      <c r="C14" s="114" t="s">
        <v>68</v>
      </c>
      <c r="D14" s="118">
        <f>[3]Inventory!E37/1000</f>
        <v>1905.3879999999999</v>
      </c>
      <c r="E14" s="118">
        <f>[3]Inventory!F37/1000</f>
        <v>4242.6090000000004</v>
      </c>
      <c r="F14" s="118">
        <f>[3]Inventory!G37/1000</f>
        <v>4898.634</v>
      </c>
      <c r="G14" s="118">
        <f>[3]Inventory!H37/1000</f>
        <v>3703.96</v>
      </c>
      <c r="H14" s="118">
        <f>[3]Inventory!I37/1000</f>
        <v>1819.481</v>
      </c>
      <c r="I14" s="118">
        <f>[3]Inventory!J37/1000</f>
        <v>-742.10699999999997</v>
      </c>
      <c r="J14" s="118">
        <f>[3]Inventory!K37/1000</f>
        <v>-2625.5970000000002</v>
      </c>
      <c r="K14" s="118">
        <f>[3]Inventory!L37/1000</f>
        <v>-2767.8530000000001</v>
      </c>
      <c r="L14" s="118">
        <f>[3]Inventory!M37/1000</f>
        <v>-3526.681</v>
      </c>
      <c r="M14" s="118">
        <f>[3]Inventory!N37/1000</f>
        <v>-3534.2060000000001</v>
      </c>
      <c r="N14" s="118">
        <f>[3]Inventory!O37/1000</f>
        <v>-2678.3719999999998</v>
      </c>
      <c r="O14" s="119">
        <f>[3]Inventory!P37/1000</f>
        <v>-695.25599999999997</v>
      </c>
      <c r="P14" s="120"/>
      <c r="Q14" s="120"/>
      <c r="R14" s="102"/>
    </row>
    <row r="15" spans="2:18" ht="15" x14ac:dyDescent="0.3">
      <c r="B15" s="116">
        <v>4</v>
      </c>
      <c r="C15" s="114" t="s">
        <v>69</v>
      </c>
      <c r="D15" s="121">
        <f>[3]Inventory!$B$12</f>
        <v>3.2135014077119051</v>
      </c>
      <c r="E15" s="121">
        <f>[3]Inventory!$B$12</f>
        <v>3.2135014077119051</v>
      </c>
      <c r="F15" s="121">
        <f>[3]Inventory!$B$12</f>
        <v>3.2135014077119051</v>
      </c>
      <c r="G15" s="121">
        <f>[3]Inventory!$B$12</f>
        <v>3.2135014077119051</v>
      </c>
      <c r="H15" s="121">
        <f>[3]Inventory!$B$12</f>
        <v>3.2135014077119051</v>
      </c>
      <c r="I15" s="121">
        <f>[3]Inventory!J19</f>
        <v>2.996615784612227</v>
      </c>
      <c r="J15" s="121">
        <f>[3]Inventory!K19</f>
        <v>2.9966157846122266</v>
      </c>
      <c r="K15" s="121">
        <f>[3]Inventory!L19</f>
        <v>2.996615784612227</v>
      </c>
      <c r="L15" s="121">
        <f>[3]Inventory!M19</f>
        <v>2.9966157846122266</v>
      </c>
      <c r="M15" s="121">
        <f>[3]Inventory!N19</f>
        <v>2.9966157846122266</v>
      </c>
      <c r="N15" s="121">
        <f>[3]Inventory!O19</f>
        <v>2.996615784612227</v>
      </c>
      <c r="O15" s="122">
        <f>[3]Inventory!P19</f>
        <v>2.9966191940897797</v>
      </c>
      <c r="P15" s="120"/>
      <c r="Q15" s="120"/>
      <c r="R15" s="102"/>
    </row>
    <row r="16" spans="2:18" ht="15" x14ac:dyDescent="0.3">
      <c r="B16" s="116">
        <v>5</v>
      </c>
      <c r="C16" s="117" t="s">
        <v>70</v>
      </c>
      <c r="D16" s="123">
        <f>[3]Inventory!E32</f>
        <v>3.2135014077119051</v>
      </c>
      <c r="E16" s="123">
        <f>[3]Inventory!F32</f>
        <v>3.2135014077119051</v>
      </c>
      <c r="F16" s="123">
        <f>[3]Inventory!G32</f>
        <v>3.2135014077119051</v>
      </c>
      <c r="G16" s="123">
        <f>[3]Inventory!H32</f>
        <v>3.2135014077119051</v>
      </c>
      <c r="H16" s="123">
        <f>[3]Inventory!I32</f>
        <v>3.2135014077119051</v>
      </c>
      <c r="I16" s="123">
        <f>[3]Inventory!J32</f>
        <v>3.1303188651067217</v>
      </c>
      <c r="J16" s="123">
        <f>[3]Inventory!K32</f>
        <v>3.0533430110516417</v>
      </c>
      <c r="K16" s="123">
        <f>[3]Inventory!L32</f>
        <v>3.0319177248578497</v>
      </c>
      <c r="L16" s="123">
        <f>[3]Inventory!M32</f>
        <v>3.0204485410427733</v>
      </c>
      <c r="M16" s="123">
        <f>[3]Inventory!N32</f>
        <v>3.0145948811684216</v>
      </c>
      <c r="N16" s="123">
        <f>[3]Inventory!O32</f>
        <v>3.0117734768270981</v>
      </c>
      <c r="O16" s="124">
        <f>[3]Inventory!P32</f>
        <v>3.0111803242800139</v>
      </c>
      <c r="P16" s="120"/>
      <c r="Q16" s="120"/>
      <c r="R16" s="102"/>
    </row>
    <row r="17" spans="2:18" ht="15" x14ac:dyDescent="0.3">
      <c r="B17" s="116"/>
      <c r="C17" s="114"/>
      <c r="D17" s="114"/>
      <c r="E17" s="114"/>
      <c r="F17" s="114"/>
      <c r="G17" s="114"/>
      <c r="H17" s="114"/>
      <c r="I17" s="114"/>
      <c r="J17" s="114"/>
      <c r="K17" s="114"/>
      <c r="L17" s="114"/>
      <c r="M17" s="114"/>
      <c r="N17" s="114"/>
      <c r="O17" s="115"/>
      <c r="P17" s="103"/>
      <c r="Q17" s="103"/>
      <c r="R17" s="102"/>
    </row>
    <row r="18" spans="2:18" ht="15" x14ac:dyDescent="0.3">
      <c r="B18" s="116"/>
      <c r="C18" s="117" t="s">
        <v>71</v>
      </c>
      <c r="D18" s="114"/>
      <c r="E18" s="114"/>
      <c r="F18" s="114"/>
      <c r="G18" s="114"/>
      <c r="H18" s="114"/>
      <c r="I18" s="114"/>
      <c r="J18" s="114"/>
      <c r="K18" s="114"/>
      <c r="L18" s="114"/>
      <c r="M18" s="114"/>
      <c r="N18" s="114"/>
      <c r="O18" s="115"/>
      <c r="P18" s="103"/>
      <c r="Q18" s="103"/>
      <c r="R18" s="102"/>
    </row>
    <row r="19" spans="2:18" ht="15" x14ac:dyDescent="0.3">
      <c r="B19" s="116">
        <v>6</v>
      </c>
      <c r="C19" s="114" t="s">
        <v>72</v>
      </c>
      <c r="D19" s="125">
        <f>[3]Inventory!E23/1000</f>
        <v>57081.085844514782</v>
      </c>
      <c r="E19" s="125">
        <f>[3]Inventory!F23/1000</f>
        <v>50958.118824277408</v>
      </c>
      <c r="F19" s="125">
        <f>[3]Inventory!G23/1000</f>
        <v>37324.488830406211</v>
      </c>
      <c r="G19" s="125">
        <f>[3]Inventory!H23/1000</f>
        <v>21582.721575540811</v>
      </c>
      <c r="H19" s="125">
        <f>[3]Inventory!I23/1000</f>
        <v>9680.0409014322231</v>
      </c>
      <c r="I19" s="125">
        <f>[3]Inventory!J23/1000</f>
        <v>3833.1361466271587</v>
      </c>
      <c r="J19" s="125">
        <f>[3]Inventory!K23/1000</f>
        <v>6056.9456966983844</v>
      </c>
      <c r="K19" s="125">
        <f>[3]Inventory!L23/1000</f>
        <v>13924.851110928894</v>
      </c>
      <c r="L19" s="125">
        <f>[3]Inventory!M23/1000</f>
        <v>22219.0431002152</v>
      </c>
      <c r="M19" s="125">
        <f>[3]Inventory!N23/1000</f>
        <v>32787.151052107227</v>
      </c>
      <c r="N19" s="125">
        <f>[3]Inventory!O23/1000</f>
        <v>43377.808537778466</v>
      </c>
      <c r="O19" s="126">
        <f>[3]Inventory!P23/1000</f>
        <v>51403.86035004189</v>
      </c>
      <c r="P19" s="103"/>
      <c r="Q19" s="103"/>
      <c r="R19" s="102"/>
    </row>
    <row r="20" spans="2:18" ht="15" x14ac:dyDescent="0.3">
      <c r="B20" s="116">
        <v>7</v>
      </c>
      <c r="C20" s="114" t="s">
        <v>73</v>
      </c>
      <c r="D20" s="125">
        <f>[3]Inventory!E30/1000</f>
        <v>50958.118824277408</v>
      </c>
      <c r="E20" s="125">
        <f>[3]Inventory!F30/1000</f>
        <v>37324.488830406211</v>
      </c>
      <c r="F20" s="125">
        <f>[3]Inventory!G30/1000</f>
        <v>21582.721575540811</v>
      </c>
      <c r="G20" s="125">
        <f>[3]Inventory!H30/1000</f>
        <v>9680.0409014322231</v>
      </c>
      <c r="H20" s="125">
        <f>[3]Inventory!I30/1000</f>
        <v>3833.1361466271587</v>
      </c>
      <c r="I20" s="125">
        <f>[3]Inventory!J30/1000</f>
        <v>6056.9456966983844</v>
      </c>
      <c r="J20" s="125">
        <f>[3]Inventory!K30/1000</f>
        <v>13924.851110928894</v>
      </c>
      <c r="K20" s="125">
        <f>[3]Inventory!L30/1000</f>
        <v>22219.0431002152</v>
      </c>
      <c r="L20" s="125">
        <f>[3]Inventory!M30/1000</f>
        <v>32787.151052107227</v>
      </c>
      <c r="M20" s="125">
        <f>[3]Inventory!N30/1000</f>
        <v>43377.808537778466</v>
      </c>
      <c r="N20" s="125">
        <f>[3]Inventory!O30/1000</f>
        <v>51403.86035004189</v>
      </c>
      <c r="O20" s="126">
        <f>[3]Inventory!P30/1000</f>
        <v>53487.277824447978</v>
      </c>
      <c r="P20" s="103"/>
      <c r="Q20" s="103"/>
      <c r="R20" s="102"/>
    </row>
    <row r="21" spans="2:18" ht="15" x14ac:dyDescent="0.3">
      <c r="B21" s="116"/>
      <c r="C21" s="114"/>
      <c r="D21" s="114"/>
      <c r="E21" s="114"/>
      <c r="F21" s="114"/>
      <c r="G21" s="114"/>
      <c r="H21" s="114"/>
      <c r="I21" s="114"/>
      <c r="J21" s="114"/>
      <c r="K21" s="114"/>
      <c r="L21" s="114"/>
      <c r="M21" s="114"/>
      <c r="N21" s="114"/>
      <c r="O21" s="115"/>
      <c r="P21" s="103"/>
      <c r="Q21" s="103"/>
      <c r="R21" s="102"/>
    </row>
    <row r="22" spans="2:18" ht="15" x14ac:dyDescent="0.3">
      <c r="B22" s="116">
        <v>8</v>
      </c>
      <c r="C22" s="117" t="s">
        <v>74</v>
      </c>
      <c r="D22" s="125">
        <f>[3]Inventory!E25/1000</f>
        <v>6122.9670202373709</v>
      </c>
      <c r="E22" s="125">
        <f>[3]Inventory!F25/1000</f>
        <v>13633.629993871196</v>
      </c>
      <c r="F22" s="125">
        <f>[3]Inventory!G25/1000</f>
        <v>15741.767254865401</v>
      </c>
      <c r="G22" s="125">
        <f>[3]Inventory!H25/1000</f>
        <v>11902.680674108587</v>
      </c>
      <c r="H22" s="125">
        <f>[3]Inventory!I25/1000</f>
        <v>5846.9047548050648</v>
      </c>
      <c r="I22" s="125">
        <f>[3]Inventory!J25/1000</f>
        <v>-2223.8095500712261</v>
      </c>
      <c r="J22" s="125">
        <f>[3]Inventory!K25/1000</f>
        <v>-7867.9054142305076</v>
      </c>
      <c r="K22" s="125">
        <f>[3]Inventory!L25/1000</f>
        <v>-8294.1919892863061</v>
      </c>
      <c r="L22" s="125">
        <f>[3]Inventory!M25/1000</f>
        <v>-10568.107951892031</v>
      </c>
      <c r="M22" s="125">
        <f>[3]Inventory!N25/1000</f>
        <v>-10590.65748567124</v>
      </c>
      <c r="N22" s="125">
        <f>[3]Inventory!O25/1000</f>
        <v>-8026.0518122634203</v>
      </c>
      <c r="O22" s="126">
        <f>[3]Inventory!P25/1000</f>
        <v>-2083.4174744060838</v>
      </c>
      <c r="P22" s="127"/>
      <c r="Q22" s="127"/>
      <c r="R22" s="102"/>
    </row>
    <row r="23" spans="2:18" ht="15" x14ac:dyDescent="0.3">
      <c r="B23" s="116"/>
      <c r="C23" s="114"/>
      <c r="D23" s="114"/>
      <c r="E23" s="114"/>
      <c r="F23" s="114"/>
      <c r="G23" s="114"/>
      <c r="H23" s="114"/>
      <c r="I23" s="114"/>
      <c r="J23" s="114"/>
      <c r="K23" s="114"/>
      <c r="L23" s="114"/>
      <c r="M23" s="114"/>
      <c r="N23" s="114"/>
      <c r="O23" s="115"/>
      <c r="P23" s="103"/>
      <c r="Q23" s="103"/>
      <c r="R23" s="102"/>
    </row>
    <row r="24" spans="2:18" ht="15" x14ac:dyDescent="0.3">
      <c r="B24" s="113"/>
      <c r="C24" s="128"/>
      <c r="D24" s="114"/>
      <c r="E24" s="114"/>
      <c r="F24" s="114"/>
      <c r="G24" s="114"/>
      <c r="H24" s="114"/>
      <c r="I24" s="114"/>
      <c r="J24" s="114"/>
      <c r="K24" s="114"/>
      <c r="L24" s="114"/>
      <c r="M24" s="114"/>
      <c r="N24" s="114"/>
      <c r="O24" s="115"/>
      <c r="P24" s="103"/>
      <c r="Q24" s="103"/>
      <c r="R24" s="102"/>
    </row>
    <row r="25" spans="2:18" ht="15.75" thickBot="1" x14ac:dyDescent="0.35">
      <c r="B25" s="129"/>
      <c r="C25" s="130"/>
      <c r="D25" s="131"/>
      <c r="E25" s="131"/>
      <c r="F25" s="131"/>
      <c r="G25" s="131"/>
      <c r="H25" s="131"/>
      <c r="I25" s="131"/>
      <c r="J25" s="131"/>
      <c r="K25" s="131"/>
      <c r="L25" s="131"/>
      <c r="M25" s="131"/>
      <c r="N25" s="131"/>
      <c r="O25" s="132"/>
      <c r="P25" s="103"/>
      <c r="Q25" s="103"/>
      <c r="R25" s="102"/>
    </row>
    <row r="26" spans="2:18" ht="15" x14ac:dyDescent="0.3">
      <c r="B26" s="102"/>
      <c r="C26" s="133"/>
      <c r="D26" s="134"/>
      <c r="E26" s="134"/>
      <c r="F26" s="134"/>
      <c r="G26" s="134"/>
      <c r="H26" s="134"/>
      <c r="I26" s="134"/>
      <c r="J26" s="134"/>
      <c r="K26" s="134"/>
      <c r="L26" s="134"/>
      <c r="M26" s="134"/>
      <c r="N26" s="134"/>
      <c r="O26" s="134"/>
      <c r="P26" s="103"/>
      <c r="Q26" s="103"/>
      <c r="R26" s="102"/>
    </row>
    <row r="27" spans="2:18" ht="13.5" thickBot="1" x14ac:dyDescent="0.3">
      <c r="B27" s="102"/>
      <c r="C27" s="135"/>
      <c r="D27" s="102"/>
      <c r="E27" s="102"/>
      <c r="F27" s="102"/>
      <c r="G27" s="102"/>
      <c r="H27" s="102"/>
      <c r="I27" s="102"/>
      <c r="J27" s="102"/>
      <c r="K27" s="102"/>
      <c r="L27" s="102"/>
      <c r="M27" s="102"/>
      <c r="N27" s="102"/>
      <c r="O27" s="102"/>
      <c r="P27" s="103"/>
      <c r="Q27" s="103"/>
      <c r="R27" s="102"/>
    </row>
    <row r="28" spans="2:18" x14ac:dyDescent="0.25">
      <c r="B28" s="136"/>
      <c r="C28" s="137"/>
      <c r="D28" s="138">
        <f>'[3]Inventory Carrying Cost'!C1</f>
        <v>44621</v>
      </c>
      <c r="E28" s="138">
        <f>'[3]Inventory Carrying Cost'!D1</f>
        <v>44652</v>
      </c>
      <c r="F28" s="138">
        <f>'[3]Inventory Carrying Cost'!E1</f>
        <v>44682</v>
      </c>
      <c r="G28" s="138">
        <f>'[3]Inventory Carrying Cost'!F1</f>
        <v>44713</v>
      </c>
      <c r="H28" s="138">
        <f>'[3]Inventory Carrying Cost'!G1</f>
        <v>44743</v>
      </c>
      <c r="I28" s="138">
        <f>'[3]Inventory Carrying Cost'!H1</f>
        <v>44774</v>
      </c>
      <c r="J28" s="138">
        <f>'[3]Inventory Carrying Cost'!I1</f>
        <v>44805</v>
      </c>
      <c r="K28" s="138">
        <f>'[3]Inventory Carrying Cost'!J1</f>
        <v>44835</v>
      </c>
      <c r="L28" s="138">
        <f>'[3]Inventory Carrying Cost'!K1</f>
        <v>44866</v>
      </c>
      <c r="M28" s="138">
        <f>'[3]Inventory Carrying Cost'!L1</f>
        <v>44896</v>
      </c>
      <c r="N28" s="138">
        <f>'[3]Inventory Carrying Cost'!M1</f>
        <v>44927</v>
      </c>
      <c r="O28" s="138">
        <f>'[3]Inventory Carrying Cost'!N1</f>
        <v>44958</v>
      </c>
      <c r="P28" s="138">
        <f>'[3]Inventory Carrying Cost'!O1</f>
        <v>44986</v>
      </c>
      <c r="Q28" s="139" t="s">
        <v>4</v>
      </c>
      <c r="R28" s="102"/>
    </row>
    <row r="29" spans="2:18" ht="15" x14ac:dyDescent="0.3">
      <c r="B29" s="140" t="s">
        <v>5</v>
      </c>
      <c r="C29" s="141" t="s">
        <v>75</v>
      </c>
      <c r="D29" s="142"/>
      <c r="E29" s="142"/>
      <c r="F29" s="142"/>
      <c r="G29" s="142"/>
      <c r="H29" s="142"/>
      <c r="I29" s="142"/>
      <c r="J29" s="142"/>
      <c r="K29" s="142"/>
      <c r="L29" s="142"/>
      <c r="M29" s="142"/>
      <c r="N29" s="142"/>
      <c r="O29" s="142"/>
      <c r="P29" s="142"/>
      <c r="Q29" s="143"/>
      <c r="R29" s="102"/>
    </row>
    <row r="30" spans="2:18" x14ac:dyDescent="0.25">
      <c r="B30" s="116"/>
      <c r="C30" s="144"/>
      <c r="D30" s="145"/>
      <c r="E30" s="145"/>
      <c r="F30" s="145"/>
      <c r="G30" s="145"/>
      <c r="H30" s="145"/>
      <c r="I30" s="145"/>
      <c r="J30" s="145"/>
      <c r="K30" s="145"/>
      <c r="L30" s="145"/>
      <c r="M30" s="145"/>
      <c r="N30" s="145"/>
      <c r="O30" s="145"/>
      <c r="P30" s="145"/>
      <c r="Q30" s="146"/>
      <c r="R30" s="102"/>
    </row>
    <row r="31" spans="2:18" ht="10.5" customHeight="1" x14ac:dyDescent="0.25">
      <c r="B31" s="116"/>
      <c r="C31" s="144"/>
      <c r="D31" s="196" t="s">
        <v>84</v>
      </c>
      <c r="E31" s="196"/>
      <c r="F31" s="196"/>
      <c r="G31" s="196"/>
      <c r="H31" s="196"/>
      <c r="I31" s="196"/>
      <c r="J31" s="196"/>
      <c r="K31" s="196"/>
      <c r="L31" s="145"/>
      <c r="M31" s="145"/>
      <c r="N31" s="145"/>
      <c r="O31" s="145"/>
      <c r="P31" s="145"/>
      <c r="Q31" s="146"/>
      <c r="R31" s="102"/>
    </row>
    <row r="32" spans="2:18" x14ac:dyDescent="0.25">
      <c r="B32" s="116"/>
      <c r="C32" s="144"/>
      <c r="D32" s="147"/>
      <c r="E32" s="147"/>
      <c r="F32" s="147"/>
      <c r="G32" s="147"/>
      <c r="H32" s="147"/>
      <c r="I32" s="147"/>
      <c r="J32" s="147"/>
      <c r="K32" s="147"/>
      <c r="L32" s="148"/>
      <c r="M32" s="148"/>
      <c r="N32" s="148"/>
      <c r="O32" s="148"/>
      <c r="P32" s="148"/>
      <c r="Q32" s="146"/>
      <c r="R32" s="102"/>
    </row>
    <row r="33" spans="2:18" x14ac:dyDescent="0.25">
      <c r="B33" s="116"/>
      <c r="C33" s="144"/>
      <c r="D33" s="103"/>
      <c r="E33" s="103"/>
      <c r="F33" s="103"/>
      <c r="G33" s="103"/>
      <c r="H33" s="103"/>
      <c r="I33" s="103"/>
      <c r="J33" s="103"/>
      <c r="K33" s="103"/>
      <c r="L33" s="148"/>
      <c r="M33" s="148"/>
      <c r="N33" s="148"/>
      <c r="O33" s="148"/>
      <c r="P33" s="148"/>
      <c r="Q33" s="146"/>
      <c r="R33" s="102"/>
    </row>
    <row r="34" spans="2:18" x14ac:dyDescent="0.25">
      <c r="B34" s="116">
        <v>9</v>
      </c>
      <c r="C34" s="103" t="s">
        <v>77</v>
      </c>
      <c r="D34" s="149">
        <f>'[3]Inventory Carrying Cost'!C7/1000</f>
        <v>3964.6921013309229</v>
      </c>
      <c r="E34" s="149">
        <f>'[3]Inventory Carrying Cost'!D7/1000</f>
        <v>6335.8738709935751</v>
      </c>
      <c r="F34" s="149">
        <f>'[3]Inventory Carrying Cost'!E7/1000</f>
        <v>14753.748503907262</v>
      </c>
      <c r="G34" s="149">
        <f>'[3]Inventory Carrying Cost'!F7/1000</f>
        <v>23628.539254420855</v>
      </c>
      <c r="H34" s="149">
        <f>'[3]Inventory Carrying Cost'!G7/1000</f>
        <v>34939.741543832468</v>
      </c>
      <c r="I34" s="149">
        <f>'[3]Inventory Carrying Cost'!H7/1000</f>
        <v>46274.930975766481</v>
      </c>
      <c r="J34" s="149">
        <f>'[3]Inventory Carrying Cost'!I7/1000</f>
        <v>54862.828064832509</v>
      </c>
      <c r="K34" s="149">
        <f>'[3]Inventory Carrying Cost'!J7/1000</f>
        <v>57081.085844514782</v>
      </c>
      <c r="L34" s="149">
        <f>'[3]Inventory Carrying Cost'!K7/1000</f>
        <v>50958.118824277408</v>
      </c>
      <c r="M34" s="149">
        <f>'[3]Inventory Carrying Cost'!L7/1000</f>
        <v>37324.488830406211</v>
      </c>
      <c r="N34" s="149">
        <f>'[3]Inventory Carrying Cost'!M7/1000</f>
        <v>21582.721575540811</v>
      </c>
      <c r="O34" s="149">
        <f>'[3]Inventory Carrying Cost'!N7/1000</f>
        <v>9680.0409014322231</v>
      </c>
      <c r="P34" s="149">
        <f>'[3]Inventory Carrying Cost'!O7/1000</f>
        <v>3833.1361466271587</v>
      </c>
      <c r="Q34" s="146"/>
      <c r="R34" s="102"/>
    </row>
    <row r="35" spans="2:18" x14ac:dyDescent="0.25">
      <c r="B35" s="116">
        <v>10</v>
      </c>
      <c r="C35" s="103" t="s">
        <v>78</v>
      </c>
      <c r="D35" s="103"/>
      <c r="E35" s="149">
        <f>'[3]Inventory Carrying Cost'!D9/1000</f>
        <v>5150.2829861622486</v>
      </c>
      <c r="F35" s="149">
        <f>'[3]Inventory Carrying Cost'!E9/1000</f>
        <v>10544.811187450417</v>
      </c>
      <c r="G35" s="149">
        <f>'[3]Inventory Carrying Cost'!F9/1000</f>
        <v>19191.143879164058</v>
      </c>
      <c r="H35" s="149">
        <f>'[3]Inventory Carrying Cost'!G9/1000</f>
        <v>29284.14039912666</v>
      </c>
      <c r="I35" s="149">
        <f>'[3]Inventory Carrying Cost'!H9/1000</f>
        <v>40607.336259799471</v>
      </c>
      <c r="J35" s="149">
        <f>'[3]Inventory Carrying Cost'!I9/1000</f>
        <v>50568.879520299495</v>
      </c>
      <c r="K35" s="149">
        <f>'[3]Inventory Carrying Cost'!J9/1000</f>
        <v>55971.956954673646</v>
      </c>
      <c r="L35" s="149">
        <f>'[3]Inventory Carrying Cost'!K9/1000</f>
        <v>54019.602334396091</v>
      </c>
      <c r="M35" s="149">
        <f>'[3]Inventory Carrying Cost'!L9/1000</f>
        <v>44141.303827341813</v>
      </c>
      <c r="N35" s="149">
        <f>'[3]Inventory Carrying Cost'!M9/1000</f>
        <v>29453.605202973511</v>
      </c>
      <c r="O35" s="149">
        <f>'[3]Inventory Carrying Cost'!N9/1000</f>
        <v>15631.381238486518</v>
      </c>
      <c r="P35" s="149">
        <f>'[3]Inventory Carrying Cost'!O9/1000</f>
        <v>6756.5885240296911</v>
      </c>
      <c r="Q35" s="146"/>
      <c r="R35" s="102"/>
    </row>
    <row r="36" spans="2:18" x14ac:dyDescent="0.25">
      <c r="B36" s="116"/>
      <c r="C36" s="144"/>
      <c r="D36" s="103"/>
      <c r="E36" s="149"/>
      <c r="F36" s="149"/>
      <c r="G36" s="149"/>
      <c r="H36" s="149"/>
      <c r="I36" s="149"/>
      <c r="J36" s="149"/>
      <c r="K36" s="149"/>
      <c r="L36" s="149"/>
      <c r="M36" s="149"/>
      <c r="N36" s="149"/>
      <c r="O36" s="149"/>
      <c r="P36" s="149"/>
      <c r="Q36" s="146"/>
      <c r="R36" s="102"/>
    </row>
    <row r="37" spans="2:18" x14ac:dyDescent="0.25">
      <c r="B37" s="116">
        <v>11</v>
      </c>
      <c r="C37" s="103" t="s">
        <v>79</v>
      </c>
      <c r="D37" s="103"/>
      <c r="E37" s="150">
        <f>'[3]Inventory Carrying Cost'!D11</f>
        <v>2.5999999999999999E-3</v>
      </c>
      <c r="F37" s="150">
        <f>'[3]Inventory Carrying Cost'!E11</f>
        <v>2.5999999999999999E-3</v>
      </c>
      <c r="G37" s="150">
        <f>'[3]Inventory Carrying Cost'!F11</f>
        <v>2.5999999999999999E-3</v>
      </c>
      <c r="H37" s="150">
        <f>'[3]Inventory Carrying Cost'!G11</f>
        <v>3.5999999999999999E-3</v>
      </c>
      <c r="I37" s="150">
        <f>'[3]Inventory Carrying Cost'!H11</f>
        <v>3.5999999999999999E-3</v>
      </c>
      <c r="J37" s="150">
        <f>'[3]Inventory Carrying Cost'!I11</f>
        <v>3.5999999999999999E-3</v>
      </c>
      <c r="K37" s="150">
        <f>'[3]Inventory Carrying Cost'!J11</f>
        <v>5.3E-3</v>
      </c>
      <c r="L37" s="150">
        <f>'[3]Inventory Carrying Cost'!K11</f>
        <v>5.3E-3</v>
      </c>
      <c r="M37" s="150">
        <f>'[3]Inventory Carrying Cost'!L11</f>
        <v>5.3E-3</v>
      </c>
      <c r="N37" s="150">
        <f>'[3]Inventory Carrying Cost'!M11</f>
        <v>7.7999999999999996E-3</v>
      </c>
      <c r="O37" s="150">
        <f>'[3]Inventory Carrying Cost'!N11</f>
        <v>7.7999999999999996E-3</v>
      </c>
      <c r="P37" s="150">
        <f>'[3]Inventory Carrying Cost'!O11</f>
        <v>7.7999999999999996E-3</v>
      </c>
      <c r="Q37" s="146"/>
      <c r="R37" s="102"/>
    </row>
    <row r="38" spans="2:18" ht="13.5" x14ac:dyDescent="0.3">
      <c r="B38" s="116">
        <v>12</v>
      </c>
      <c r="C38" s="103" t="s">
        <v>80</v>
      </c>
      <c r="D38" s="103"/>
      <c r="E38" s="149">
        <f>'[3]Inventory Carrying Cost'!D13/1000</f>
        <v>1.1006084189606997</v>
      </c>
      <c r="F38" s="149">
        <f>'[3]Inventory Carrying Cost'!E13/1000</f>
        <v>2.3285254293383666</v>
      </c>
      <c r="G38" s="149">
        <f>'[3]Inventory Carrying Cost'!F13/1000</f>
        <v>4.1011211577391684</v>
      </c>
      <c r="H38" s="149">
        <f>'[3]Inventory Carrying Cost'!G13/1000</f>
        <v>8.9537262151850285</v>
      </c>
      <c r="I38" s="149">
        <f>'[3]Inventory Carrying Cost'!H13/1000</f>
        <v>12.415832127653758</v>
      </c>
      <c r="J38" s="149">
        <f>'[3]Inventory Carrying Cost'!I13/1000</f>
        <v>14.962846542992725</v>
      </c>
      <c r="K38" s="149">
        <f>'[3]Inventory Carrying Cost'!J13/1000</f>
        <v>25.195048020966794</v>
      </c>
      <c r="L38" s="149">
        <f>'[3]Inventory Carrying Cost'!K13/1000</f>
        <v>23.531826770325971</v>
      </c>
      <c r="M38" s="149">
        <f>'[3]Inventory Carrying Cost'!L13/1000</f>
        <v>19.869633476252766</v>
      </c>
      <c r="N38" s="149">
        <f>'[3]Inventory Carrying Cost'!M13/1000</f>
        <v>19.512004761860258</v>
      </c>
      <c r="O38" s="149">
        <f>'[3]Inventory Carrying Cost'!N13/1000</f>
        <v>9.3531333218779604</v>
      </c>
      <c r="P38" s="151">
        <f>'[3]Inventory Carrying Cost'!O13/1000</f>
        <v>4.4760085071517244</v>
      </c>
      <c r="Q38" s="152"/>
      <c r="R38" s="102"/>
    </row>
    <row r="39" spans="2:18" ht="13.5" x14ac:dyDescent="0.3">
      <c r="B39" s="116">
        <v>13</v>
      </c>
      <c r="C39" s="103" t="s">
        <v>81</v>
      </c>
      <c r="D39" s="103"/>
      <c r="E39" s="153"/>
      <c r="F39" s="153"/>
      <c r="G39" s="153"/>
      <c r="H39" s="153"/>
      <c r="I39" s="153"/>
      <c r="J39" s="153"/>
      <c r="K39" s="153"/>
      <c r="L39" s="153"/>
      <c r="M39" s="153"/>
      <c r="N39" s="153"/>
      <c r="O39" s="153"/>
      <c r="P39" s="154"/>
      <c r="Q39" s="152">
        <f>SUM(E38:P38)</f>
        <v>145.80031475030523</v>
      </c>
      <c r="R39" s="102"/>
    </row>
    <row r="40" spans="2:18" ht="14.25" thickBot="1" x14ac:dyDescent="0.35">
      <c r="B40" s="155">
        <v>14</v>
      </c>
      <c r="C40" s="156" t="s">
        <v>82</v>
      </c>
      <c r="D40" s="156"/>
      <c r="E40" s="157"/>
      <c r="F40" s="157"/>
      <c r="G40" s="157"/>
      <c r="H40" s="157"/>
      <c r="I40" s="157"/>
      <c r="J40" s="157"/>
      <c r="K40" s="157"/>
      <c r="L40" s="157"/>
      <c r="M40" s="157"/>
      <c r="N40" s="157"/>
      <c r="O40" s="157"/>
      <c r="P40" s="158"/>
      <c r="Q40" s="159">
        <f>Q39/12</f>
        <v>12.150026229192102</v>
      </c>
      <c r="R40" s="102"/>
    </row>
    <row r="41" spans="2:18" x14ac:dyDescent="0.25">
      <c r="B41" s="102"/>
      <c r="C41" s="135"/>
      <c r="D41" s="103"/>
      <c r="E41" s="103"/>
      <c r="F41" s="103"/>
      <c r="G41" s="103"/>
      <c r="H41" s="160"/>
      <c r="I41" s="103"/>
      <c r="J41" s="103"/>
      <c r="K41" s="103"/>
      <c r="L41" s="103"/>
      <c r="M41" s="103"/>
      <c r="N41" s="103"/>
      <c r="O41" s="103"/>
      <c r="P41" s="103"/>
      <c r="Q41" s="103"/>
      <c r="R41" s="102"/>
    </row>
    <row r="42" spans="2:18" x14ac:dyDescent="0.25">
      <c r="B42" s="102"/>
      <c r="C42" s="161" t="s">
        <v>83</v>
      </c>
      <c r="D42" s="102"/>
      <c r="E42" s="102"/>
      <c r="F42" s="102"/>
      <c r="G42" s="102"/>
      <c r="H42" s="102"/>
      <c r="I42" s="102"/>
      <c r="J42" s="102"/>
      <c r="K42" s="102"/>
      <c r="L42" s="102"/>
      <c r="M42" s="102"/>
      <c r="N42" s="102"/>
      <c r="O42" s="102"/>
      <c r="P42" s="103"/>
      <c r="Q42" s="103"/>
      <c r="R42" s="102"/>
    </row>
    <row r="43" spans="2:18" x14ac:dyDescent="0.25">
      <c r="B43" s="102"/>
      <c r="C43" s="135"/>
      <c r="D43" s="102"/>
      <c r="E43" s="102"/>
      <c r="F43" s="102"/>
      <c r="G43" s="102"/>
      <c r="H43" s="102"/>
      <c r="I43" s="102"/>
      <c r="J43" s="102"/>
      <c r="K43" s="102"/>
      <c r="L43" s="102"/>
      <c r="M43" s="102"/>
      <c r="N43" s="102"/>
      <c r="O43" s="102"/>
      <c r="P43" s="103"/>
      <c r="Q43" s="103"/>
      <c r="R43" s="102"/>
    </row>
    <row r="45" spans="2:18" x14ac:dyDescent="0.25">
      <c r="D45" s="162"/>
      <c r="E45" s="162"/>
      <c r="F45" s="162"/>
      <c r="G45" s="162"/>
      <c r="H45" s="162"/>
      <c r="I45" s="162"/>
      <c r="J45" s="162"/>
      <c r="K45" s="162"/>
      <c r="L45" s="162"/>
      <c r="M45" s="162"/>
      <c r="N45" s="162"/>
      <c r="O45" s="162"/>
      <c r="P45" s="163"/>
      <c r="Q45" s="163"/>
    </row>
  </sheetData>
  <mergeCells count="5">
    <mergeCell ref="C2:O2"/>
    <mergeCell ref="C3:O3"/>
    <mergeCell ref="C4:O4"/>
    <mergeCell ref="C5:O5"/>
    <mergeCell ref="D31:K31"/>
  </mergeCells>
  <printOptions horizontalCentered="1" verticalCentered="1"/>
  <pageMargins left="0.25" right="0.25" top="0.25" bottom="0.25" header="0.511811023622047" footer="0.511811023622047"/>
  <pageSetup scale="71" fitToHeight="0"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zoomScale="80" zoomScaleNormal="80" workbookViewId="0">
      <selection activeCell="B3" sqref="B3:Q45"/>
    </sheetView>
  </sheetViews>
  <sheetFormatPr defaultColWidth="9.140625" defaultRowHeight="15" x14ac:dyDescent="0.3"/>
  <cols>
    <col min="1" max="1" width="2.140625" style="5" customWidth="1"/>
    <col min="2" max="2" width="9.140625" style="5" customWidth="1"/>
    <col min="3" max="3" width="50" style="5" customWidth="1"/>
    <col min="4" max="4" width="12.42578125" style="5" customWidth="1"/>
    <col min="5" max="5" width="12.28515625" style="5" customWidth="1"/>
    <col min="6" max="6" width="13" style="5" customWidth="1"/>
    <col min="7" max="7" width="13.7109375" style="5" customWidth="1"/>
    <col min="8" max="8" width="13.140625" style="5" customWidth="1"/>
    <col min="9" max="9" width="13.42578125" style="5" customWidth="1"/>
    <col min="10" max="16" width="14" style="5" customWidth="1"/>
    <col min="17" max="17" width="14.28515625" style="5" customWidth="1"/>
    <col min="18" max="18" width="2.28515625" style="5" customWidth="1"/>
    <col min="19" max="16384" width="9.140625" style="5"/>
  </cols>
  <sheetData>
    <row r="1" spans="1:19" ht="27" x14ac:dyDescent="0.5">
      <c r="A1" s="1"/>
      <c r="B1" s="201"/>
      <c r="C1" s="201"/>
      <c r="D1" s="1"/>
      <c r="E1" s="1"/>
      <c r="F1" s="1"/>
      <c r="G1" s="1"/>
      <c r="H1" s="1"/>
      <c r="I1" s="1"/>
      <c r="J1" s="1"/>
      <c r="K1" s="1"/>
      <c r="L1" s="1"/>
      <c r="M1" s="1"/>
      <c r="N1" s="1"/>
      <c r="O1" s="1"/>
      <c r="P1" s="1"/>
      <c r="Q1" s="3" t="s">
        <v>121</v>
      </c>
      <c r="R1" s="4"/>
    </row>
    <row r="2" spans="1:19" x14ac:dyDescent="0.3">
      <c r="A2" s="1"/>
      <c r="B2" s="1"/>
      <c r="C2" s="1"/>
      <c r="D2" s="1"/>
      <c r="E2" s="1"/>
      <c r="F2" s="1"/>
      <c r="G2" s="1"/>
      <c r="H2" s="1"/>
      <c r="I2" s="1"/>
      <c r="J2" s="1"/>
      <c r="K2" s="1"/>
      <c r="L2" s="1"/>
      <c r="M2" s="1"/>
      <c r="N2" s="1"/>
      <c r="O2" s="1"/>
      <c r="P2" s="1"/>
      <c r="Q2" s="202"/>
      <c r="R2" s="4"/>
    </row>
    <row r="3" spans="1:19" ht="27" x14ac:dyDescent="0.5">
      <c r="A3" s="1"/>
      <c r="B3" s="197" t="s">
        <v>1</v>
      </c>
      <c r="C3" s="197"/>
      <c r="D3" s="197"/>
      <c r="E3" s="197"/>
      <c r="F3" s="197"/>
      <c r="G3" s="197"/>
      <c r="H3" s="197"/>
      <c r="I3" s="197"/>
      <c r="J3" s="197"/>
      <c r="K3" s="197"/>
      <c r="L3" s="197"/>
      <c r="M3" s="197"/>
      <c r="N3" s="197"/>
      <c r="O3" s="197"/>
      <c r="P3" s="197"/>
      <c r="Q3" s="197"/>
      <c r="R3" s="4"/>
    </row>
    <row r="4" spans="1:19" ht="21" x14ac:dyDescent="0.4">
      <c r="A4" s="1"/>
      <c r="B4" s="203" t="s">
        <v>122</v>
      </c>
      <c r="C4" s="203"/>
      <c r="D4" s="203"/>
      <c r="E4" s="203"/>
      <c r="F4" s="203"/>
      <c r="G4" s="203"/>
      <c r="H4" s="203"/>
      <c r="I4" s="203"/>
      <c r="J4" s="203"/>
      <c r="K4" s="203"/>
      <c r="L4" s="203"/>
      <c r="M4" s="203"/>
      <c r="N4" s="203"/>
      <c r="O4" s="203"/>
      <c r="P4" s="203"/>
      <c r="Q4" s="203"/>
      <c r="R4" s="4"/>
    </row>
    <row r="5" spans="1:19" s="204" customFormat="1" ht="21" x14ac:dyDescent="0.4">
      <c r="B5" s="203" t="s">
        <v>123</v>
      </c>
      <c r="C5" s="203"/>
      <c r="D5" s="203"/>
      <c r="E5" s="203"/>
      <c r="F5" s="203"/>
      <c r="G5" s="203"/>
      <c r="H5" s="203"/>
      <c r="I5" s="203"/>
      <c r="J5" s="203"/>
      <c r="K5" s="203"/>
      <c r="L5" s="203"/>
      <c r="M5" s="203"/>
      <c r="N5" s="203"/>
      <c r="O5" s="203"/>
      <c r="P5" s="203"/>
      <c r="Q5" s="203"/>
    </row>
    <row r="6" spans="1:19" ht="21" x14ac:dyDescent="0.4">
      <c r="A6" s="1"/>
      <c r="B6" s="203"/>
      <c r="C6" s="203"/>
      <c r="D6" s="203"/>
      <c r="E6" s="203"/>
      <c r="F6" s="203"/>
      <c r="G6" s="203"/>
      <c r="H6" s="203"/>
      <c r="I6" s="203"/>
      <c r="J6" s="203"/>
      <c r="K6" s="203"/>
      <c r="L6" s="203"/>
      <c r="M6" s="203"/>
      <c r="N6" s="203"/>
      <c r="O6" s="203"/>
      <c r="P6" s="203"/>
      <c r="Q6" s="203"/>
      <c r="R6" s="4"/>
    </row>
    <row r="7" spans="1:19" ht="24.75" customHeight="1" thickBot="1" x14ac:dyDescent="0.35">
      <c r="A7" s="1"/>
      <c r="B7" s="1"/>
      <c r="C7" s="10"/>
      <c r="D7" s="10"/>
      <c r="E7" s="10">
        <v>1</v>
      </c>
      <c r="F7" s="10">
        <v>2</v>
      </c>
      <c r="G7" s="10">
        <v>3</v>
      </c>
      <c r="H7" s="10">
        <v>4</v>
      </c>
      <c r="I7" s="10">
        <v>5</v>
      </c>
      <c r="J7" s="10">
        <v>6</v>
      </c>
      <c r="K7" s="10">
        <v>7</v>
      </c>
      <c r="L7" s="10">
        <v>8</v>
      </c>
      <c r="M7" s="10">
        <v>9</v>
      </c>
      <c r="N7" s="10">
        <v>10</v>
      </c>
      <c r="O7" s="10">
        <v>11</v>
      </c>
      <c r="P7" s="10">
        <v>12</v>
      </c>
      <c r="Q7" s="10">
        <v>13</v>
      </c>
      <c r="R7" s="4"/>
    </row>
    <row r="8" spans="1:19" x14ac:dyDescent="0.3">
      <c r="A8" s="1"/>
      <c r="B8" s="12"/>
      <c r="C8" s="13"/>
      <c r="D8" s="14"/>
      <c r="E8" s="14">
        <f>[5]CoGS!E1</f>
        <v>44136</v>
      </c>
      <c r="F8" s="14">
        <f>[5]CoGS!F1</f>
        <v>44166</v>
      </c>
      <c r="G8" s="14">
        <f>[5]CoGS!G1</f>
        <v>44197</v>
      </c>
      <c r="H8" s="14">
        <f>[5]CoGS!H1</f>
        <v>44228</v>
      </c>
      <c r="I8" s="14">
        <f>[5]CoGS!I1</f>
        <v>44256</v>
      </c>
      <c r="J8" s="14">
        <f>[5]CoGS!J1</f>
        <v>44287</v>
      </c>
      <c r="K8" s="14">
        <f>[5]CoGS!K1</f>
        <v>44317</v>
      </c>
      <c r="L8" s="14">
        <f>[5]CoGS!L1</f>
        <v>44348</v>
      </c>
      <c r="M8" s="14">
        <f>[5]CoGS!M1</f>
        <v>44378</v>
      </c>
      <c r="N8" s="14">
        <f>[5]CoGS!N1</f>
        <v>44409</v>
      </c>
      <c r="O8" s="14">
        <f>[5]CoGS!O1</f>
        <v>44440</v>
      </c>
      <c r="P8" s="14">
        <f>[5]CoGS!P1</f>
        <v>44470</v>
      </c>
      <c r="Q8" s="65" t="s">
        <v>4</v>
      </c>
      <c r="R8" s="4"/>
    </row>
    <row r="9" spans="1:19" ht="15.75" thickBot="1" x14ac:dyDescent="0.35">
      <c r="A9" s="1"/>
      <c r="B9" s="205" t="s">
        <v>5</v>
      </c>
      <c r="C9" s="206" t="s">
        <v>6</v>
      </c>
      <c r="D9" s="206"/>
      <c r="E9" s="206"/>
      <c r="F9" s="206"/>
      <c r="G9" s="206"/>
      <c r="H9" s="206"/>
      <c r="I9" s="206"/>
      <c r="J9" s="206"/>
      <c r="K9" s="206"/>
      <c r="L9" s="206"/>
      <c r="M9" s="206"/>
      <c r="N9" s="206"/>
      <c r="O9" s="206" t="s">
        <v>124</v>
      </c>
      <c r="P9" s="206" t="s">
        <v>124</v>
      </c>
      <c r="Q9" s="207"/>
      <c r="R9" s="4"/>
    </row>
    <row r="10" spans="1:19" ht="24.75" customHeight="1" x14ac:dyDescent="0.3">
      <c r="A10" s="1"/>
      <c r="B10" s="59">
        <v>1</v>
      </c>
      <c r="C10" s="208" t="s">
        <v>125</v>
      </c>
      <c r="D10" s="208"/>
      <c r="E10" s="209">
        <f>[5]CoGS!$B$181/1000</f>
        <v>-5608.6220941548127</v>
      </c>
      <c r="F10" s="210"/>
      <c r="G10" s="210"/>
      <c r="H10" s="210"/>
      <c r="I10" s="210"/>
      <c r="J10" s="210"/>
      <c r="K10" s="210"/>
      <c r="L10" s="210"/>
      <c r="M10" s="210"/>
      <c r="N10" s="210"/>
      <c r="O10" s="210"/>
      <c r="P10" s="210"/>
      <c r="Q10" s="211">
        <f>Q11</f>
        <v>-5608.6220941548127</v>
      </c>
      <c r="R10" s="4"/>
    </row>
    <row r="11" spans="1:19" ht="25.15" customHeight="1" x14ac:dyDescent="0.3">
      <c r="A11" s="1"/>
      <c r="B11" s="20">
        <v>2</v>
      </c>
      <c r="C11" s="28" t="s">
        <v>8</v>
      </c>
      <c r="D11" s="28"/>
      <c r="E11" s="22">
        <f>E10</f>
        <v>-5608.6220941548127</v>
      </c>
      <c r="F11" s="22">
        <f t="shared" ref="F11:P11" si="0">E29</f>
        <v>-3540.5349278443841</v>
      </c>
      <c r="G11" s="22">
        <f t="shared" si="0"/>
        <v>-1270.2645365640369</v>
      </c>
      <c r="H11" s="22">
        <f t="shared" si="0"/>
        <v>847.82352791032383</v>
      </c>
      <c r="I11" s="22">
        <f t="shared" si="0"/>
        <v>3883.1167078244757</v>
      </c>
      <c r="J11" s="22">
        <f t="shared" si="0"/>
        <v>5683.8380308861006</v>
      </c>
      <c r="K11" s="22">
        <f t="shared" si="0"/>
        <v>8149.121016742969</v>
      </c>
      <c r="L11" s="22">
        <f t="shared" si="0"/>
        <v>9706.2874835325274</v>
      </c>
      <c r="M11" s="22">
        <f t="shared" si="0"/>
        <v>11172.91578748149</v>
      </c>
      <c r="N11" s="22">
        <f t="shared" si="0"/>
        <v>12058.413310061444</v>
      </c>
      <c r="O11" s="22">
        <f t="shared" si="0"/>
        <v>13146.766329679833</v>
      </c>
      <c r="P11" s="22">
        <f t="shared" si="0"/>
        <v>14821.015678066145</v>
      </c>
      <c r="Q11" s="212">
        <f>E10</f>
        <v>-5608.6220941548127</v>
      </c>
      <c r="R11" s="4"/>
      <c r="S11" s="213"/>
    </row>
    <row r="12" spans="1:19" ht="25.15" customHeight="1" x14ac:dyDescent="0.3">
      <c r="A12" s="1"/>
      <c r="B12" s="32">
        <v>3</v>
      </c>
      <c r="C12" s="1" t="s">
        <v>126</v>
      </c>
      <c r="D12" s="33"/>
      <c r="E12" s="33">
        <f>[5]CoGS!E50/1000</f>
        <v>14079.085999999999</v>
      </c>
      <c r="F12" s="33">
        <f>[5]CoGS!F50/1000</f>
        <v>9949.6450000000004</v>
      </c>
      <c r="G12" s="33">
        <f>[5]CoGS!G50/1000</f>
        <v>8291.9562499999993</v>
      </c>
      <c r="H12" s="33">
        <f>[5]CoGS!H50/1000</f>
        <v>13439.628000000001</v>
      </c>
      <c r="I12" s="33">
        <f>[5]CoGS!I50/1000</f>
        <v>7122.8312500000002</v>
      </c>
      <c r="J12" s="33">
        <f>[5]CoGS!J50/1000</f>
        <v>7299.8950000000004</v>
      </c>
      <c r="K12" s="33">
        <f>[5]CoGS!K50/1000</f>
        <v>9692.5139999999992</v>
      </c>
      <c r="L12" s="33">
        <f>[5]CoGS!L50/1000</f>
        <v>9469.602710000001</v>
      </c>
      <c r="M12" s="33">
        <f>[5]CoGS!M50/1000</f>
        <v>10426.514999999999</v>
      </c>
      <c r="N12" s="33">
        <f>[5]CoGS!N50/1000</f>
        <v>9579.884</v>
      </c>
      <c r="O12" s="33">
        <f>[5]CoGS!O50/1000</f>
        <v>10585.37016</v>
      </c>
      <c r="P12" s="33">
        <f>[5]CoGS!P50/1000</f>
        <v>11225.465829999999</v>
      </c>
      <c r="Q12" s="214">
        <f>SUM(E12:P12)</f>
        <v>121162.39320000002</v>
      </c>
      <c r="R12" s="4"/>
    </row>
    <row r="13" spans="1:19" ht="25.15" customHeight="1" x14ac:dyDescent="0.3">
      <c r="A13" s="1"/>
      <c r="B13" s="32">
        <v>4</v>
      </c>
      <c r="C13" s="1" t="s">
        <v>127</v>
      </c>
      <c r="D13" s="33"/>
      <c r="E13" s="33">
        <f>[5]CoGS!E54/1000-[5]CoGS!E50/1000</f>
        <v>3628.6510000000017</v>
      </c>
      <c r="F13" s="33">
        <f>[5]CoGS!F54/1000-[5]CoGS!F50/1000</f>
        <v>2375.2399999999998</v>
      </c>
      <c r="G13" s="33">
        <f>[5]CoGS!G54/1000-[5]CoGS!G50/1000</f>
        <v>2168.3059000000012</v>
      </c>
      <c r="H13" s="33">
        <f>[5]CoGS!H54/1000-[5]CoGS!H50/1000</f>
        <v>2305.1329999999998</v>
      </c>
      <c r="I13" s="33">
        <f>[5]CoGS!I54/1000-[5]CoGS!I50/1000</f>
        <v>2453.9499999999998</v>
      </c>
      <c r="J13" s="33">
        <f>[5]CoGS!J54/1000-[5]CoGS!J50/1000</f>
        <v>1686.7391599999992</v>
      </c>
      <c r="K13" s="33">
        <f>[5]CoGS!K54/1000-[5]CoGS!K50/1000</f>
        <v>2017.7780000000002</v>
      </c>
      <c r="L13" s="33">
        <f>[5]CoGS!L54/1000-[5]CoGS!L50/1000</f>
        <v>1747.3959600000017</v>
      </c>
      <c r="M13" s="33">
        <f>[5]CoGS!M54/1000-[5]CoGS!M50/1000</f>
        <v>2183.8770000000004</v>
      </c>
      <c r="N13" s="33">
        <f>[5]CoGS!N54/1000-[5]CoGS!N50/1000</f>
        <v>2423.6078300000008</v>
      </c>
      <c r="O13" s="33">
        <f>[5]CoGS!O54/1000-[5]CoGS!O50/1000</f>
        <v>3223.9565999999995</v>
      </c>
      <c r="P13" s="33">
        <f>[5]CoGS!P54/1000-[5]CoGS!P50/1000</f>
        <v>3502.8450000000012</v>
      </c>
      <c r="Q13" s="214">
        <f>SUM(E13:P13)</f>
        <v>29717.479450000006</v>
      </c>
      <c r="R13" s="4"/>
    </row>
    <row r="14" spans="1:19" ht="25.15" customHeight="1" x14ac:dyDescent="0.3">
      <c r="A14" s="1"/>
      <c r="B14" s="32">
        <v>5</v>
      </c>
      <c r="C14" s="1" t="s">
        <v>128</v>
      </c>
      <c r="D14" s="33"/>
      <c r="E14" s="37">
        <f>-([5]CoGS!E118/1000)</f>
        <v>-528.04234988871065</v>
      </c>
      <c r="F14" s="37">
        <f>-([5]CoGS!F118/1000)</f>
        <v>-3.2467071628225916</v>
      </c>
      <c r="G14" s="37">
        <f>-([5]CoGS!G118/1000)</f>
        <v>-10.505314943514904</v>
      </c>
      <c r="H14" s="37">
        <f>-([5]CoGS!H118/1000)</f>
        <v>-1.5120484577351792</v>
      </c>
      <c r="I14" s="37">
        <f>-([5]CoGS!I118/1000)</f>
        <v>-7.4056412997799592</v>
      </c>
      <c r="J14" s="37">
        <f>-([5]CoGS!J118/1000)</f>
        <v>-0.25079093365169758</v>
      </c>
      <c r="K14" s="37">
        <f>-([5]CoGS!K118/1000)</f>
        <v>-10.59544221861761</v>
      </c>
      <c r="L14" s="37">
        <f>-([5]CoGS!L118/1000)</f>
        <v>0</v>
      </c>
      <c r="M14" s="37">
        <f>-([5]CoGS!M118/1000)</f>
        <v>0</v>
      </c>
      <c r="N14" s="37">
        <f>-([5]CoGS!N118/1000)</f>
        <v>-1.6978405031689696</v>
      </c>
      <c r="O14" s="37">
        <f>-([5]CoGS!O118/1000)</f>
        <v>0</v>
      </c>
      <c r="P14" s="37">
        <f>-([5]CoGS!P118/1000)</f>
        <v>0</v>
      </c>
      <c r="Q14" s="42">
        <f>SUM(E14:P14)</f>
        <v>-563.25613540800168</v>
      </c>
      <c r="R14" s="4"/>
    </row>
    <row r="15" spans="1:19" ht="25.15" customHeight="1" x14ac:dyDescent="0.3">
      <c r="A15" s="1"/>
      <c r="B15" s="32">
        <v>6</v>
      </c>
      <c r="C15" s="1" t="s">
        <v>11</v>
      </c>
      <c r="D15" s="37"/>
      <c r="E15" s="37">
        <f>-([5]CoGS!E108/1000)</f>
        <v>-1182.135</v>
      </c>
      <c r="F15" s="37">
        <f>-([5]CoGS!F108/1000)</f>
        <v>-776.36400000000003</v>
      </c>
      <c r="G15" s="37">
        <f>-([5]CoGS!G108/1000)</f>
        <v>-1036.8879999999999</v>
      </c>
      <c r="H15" s="37">
        <f>-([5]CoGS!H108/1000)</f>
        <v>-2739.1139999999996</v>
      </c>
      <c r="I15" s="37">
        <f>-([5]CoGS!I108/1000)</f>
        <v>-998.86649999999997</v>
      </c>
      <c r="J15" s="37">
        <f>-([5]CoGS!J108/1000)</f>
        <v>0</v>
      </c>
      <c r="K15" s="37">
        <f>-([5]CoGS!K108/1000)</f>
        <v>0</v>
      </c>
      <c r="L15" s="37">
        <f>-([5]CoGS!L108/1000)</f>
        <v>0</v>
      </c>
      <c r="M15" s="37">
        <f>-([5]CoGS!M108/1000)</f>
        <v>0</v>
      </c>
      <c r="N15" s="37">
        <f>-([5]CoGS!N108/1000)</f>
        <v>0</v>
      </c>
      <c r="O15" s="37">
        <f>-([5]CoGS!O108/1000)</f>
        <v>0</v>
      </c>
      <c r="P15" s="37">
        <f>-([5]CoGS!P108/1000)</f>
        <v>0</v>
      </c>
      <c r="Q15" s="42">
        <f>SUM(E15:P15)</f>
        <v>-6733.3674999999994</v>
      </c>
      <c r="R15" s="4"/>
    </row>
    <row r="16" spans="1:19" ht="25.15" customHeight="1" x14ac:dyDescent="0.3">
      <c r="A16" s="1"/>
      <c r="B16" s="20">
        <v>7</v>
      </c>
      <c r="C16" s="28" t="s">
        <v>129</v>
      </c>
      <c r="D16" s="22"/>
      <c r="E16" s="22">
        <f>[5]CoGS!E143/1000</f>
        <v>2320.5909999999999</v>
      </c>
      <c r="F16" s="22">
        <f>[5]CoGS!F143/1000</f>
        <v>2327.2860000000001</v>
      </c>
      <c r="G16" s="22">
        <f>[5]CoGS!G143/1000</f>
        <v>2328.3525800000002</v>
      </c>
      <c r="H16" s="22">
        <f>[5]CoGS!H143/1000</f>
        <v>2247.9740000000002</v>
      </c>
      <c r="I16" s="22">
        <f>[5]CoGS!I143/1000</f>
        <v>2247.6370499999998</v>
      </c>
      <c r="J16" s="22">
        <f>[5]CoGS!J143/1000</f>
        <v>2333.8589999999999</v>
      </c>
      <c r="K16" s="22">
        <f>[5]CoGS!K143/1000</f>
        <v>2352.7199999999998</v>
      </c>
      <c r="L16" s="22">
        <f>[5]CoGS!L143/1000</f>
        <v>2351.2089399999995</v>
      </c>
      <c r="M16" s="22">
        <f>[5]CoGS!M143/1000</f>
        <v>2353.3719999999998</v>
      </c>
      <c r="N16" s="22">
        <f>[5]CoGS!N143/1000</f>
        <v>2687.7620000000002</v>
      </c>
      <c r="O16" s="22">
        <f>[5]CoGS!O143/1000</f>
        <v>2307</v>
      </c>
      <c r="P16" s="22">
        <f>[5]CoGS!P143/1000</f>
        <v>2383.9</v>
      </c>
      <c r="Q16" s="215">
        <f>SUM(E16:P16)</f>
        <v>28241.66257</v>
      </c>
      <c r="R16" s="4"/>
    </row>
    <row r="17" spans="1:19" ht="25.15" customHeight="1" x14ac:dyDescent="0.3">
      <c r="A17" s="1"/>
      <c r="B17" s="32">
        <v>8</v>
      </c>
      <c r="C17" s="1" t="s">
        <v>13</v>
      </c>
      <c r="D17" s="37"/>
      <c r="E17" s="37">
        <f t="shared" ref="E17:Q17" si="1">SUM(E12:E16)</f>
        <v>18318.150650111289</v>
      </c>
      <c r="F17" s="37">
        <f t="shared" si="1"/>
        <v>13872.560292837177</v>
      </c>
      <c r="G17" s="37">
        <f t="shared" si="1"/>
        <v>11741.221415056485</v>
      </c>
      <c r="H17" s="37">
        <f t="shared" si="1"/>
        <v>15252.108951542266</v>
      </c>
      <c r="I17" s="37">
        <f t="shared" si="1"/>
        <v>10818.14615870022</v>
      </c>
      <c r="J17" s="37">
        <f t="shared" si="1"/>
        <v>11320.242369066349</v>
      </c>
      <c r="K17" s="37">
        <f t="shared" si="1"/>
        <v>14052.416557781382</v>
      </c>
      <c r="L17" s="37">
        <f t="shared" si="1"/>
        <v>13568.207610000001</v>
      </c>
      <c r="M17" s="37">
        <f t="shared" si="1"/>
        <v>14963.763999999999</v>
      </c>
      <c r="N17" s="37">
        <f t="shared" si="1"/>
        <v>14689.555989496832</v>
      </c>
      <c r="O17" s="37">
        <f t="shared" si="1"/>
        <v>16116.32676</v>
      </c>
      <c r="P17" s="37">
        <f t="shared" si="1"/>
        <v>17112.21083</v>
      </c>
      <c r="Q17" s="42">
        <f t="shared" si="1"/>
        <v>171824.91158459202</v>
      </c>
      <c r="R17" s="4"/>
      <c r="S17" s="216"/>
    </row>
    <row r="18" spans="1:19" ht="25.15" customHeight="1" x14ac:dyDescent="0.3">
      <c r="A18" s="1"/>
      <c r="B18" s="32">
        <v>9</v>
      </c>
      <c r="C18" s="1" t="s">
        <v>14</v>
      </c>
      <c r="D18" s="37"/>
      <c r="E18" s="37">
        <f>[5]CoGS!E148/1000</f>
        <v>707.63192072814456</v>
      </c>
      <c r="F18" s="37">
        <f>[5]CoGS!F148/1000</f>
        <v>8791.514096712468</v>
      </c>
      <c r="G18" s="37">
        <f>[5]CoGS!G148/1000</f>
        <v>12031.899175415918</v>
      </c>
      <c r="H18" s="37">
        <f>[5]CoGS!H148/1000</f>
        <v>12996.717926301701</v>
      </c>
      <c r="I18" s="37">
        <f>[5]CoGS!I148/1000</f>
        <v>5455.9845090727749</v>
      </c>
      <c r="J18" s="37">
        <f>[5]CoGS!J148/1000</f>
        <v>1055.5295128308328</v>
      </c>
      <c r="K18" s="37">
        <f>[5]CoGS!K148/1000</f>
        <v>-6920.285670344193</v>
      </c>
      <c r="L18" s="37">
        <f>[5]CoGS!L148/1000</f>
        <v>-7549.8840045633733</v>
      </c>
      <c r="M18" s="37">
        <f>[5]CoGS!M148/1000</f>
        <v>-11962.73978746715</v>
      </c>
      <c r="N18" s="37">
        <f>[5]CoGS!N148/1000</f>
        <v>-11147.252838856351</v>
      </c>
      <c r="O18" s="37">
        <f>[5]CoGS!O148/1000</f>
        <v>-10060.556211315215</v>
      </c>
      <c r="P18" s="37">
        <f>[5]CoGS!P148/1000</f>
        <v>-3148.3298593119521</v>
      </c>
      <c r="Q18" s="217">
        <f t="shared" ref="Q18:Q28" si="2">SUM(E18:P18)</f>
        <v>-9749.771230796392</v>
      </c>
      <c r="R18" s="4"/>
    </row>
    <row r="19" spans="1:19" ht="25.15" customHeight="1" x14ac:dyDescent="0.3">
      <c r="A19" s="1"/>
      <c r="B19" s="32">
        <v>10</v>
      </c>
      <c r="C19" s="1" t="s">
        <v>15</v>
      </c>
      <c r="D19" s="37"/>
      <c r="E19" s="37">
        <f>[5]CoGS!E152/1000</f>
        <v>3.67723715680162</v>
      </c>
      <c r="F19" s="37">
        <f>[5]CoGS!F152/1000</f>
        <v>3.67723715680162</v>
      </c>
      <c r="G19" s="37">
        <f>[5]CoGS!G152/1000</f>
        <v>3.67723715680162</v>
      </c>
      <c r="H19" s="37">
        <f>[5]CoGS!H152/1000</f>
        <v>3.67723715680162</v>
      </c>
      <c r="I19" s="37">
        <f>[5]CoGS!I152/1000</f>
        <v>3.67723715680162</v>
      </c>
      <c r="J19" s="37">
        <f>[5]CoGS!J152/1000</f>
        <v>3.67723715680162</v>
      </c>
      <c r="K19" s="37">
        <f>[5]CoGS!K152/1000</f>
        <v>3.67723715680162</v>
      </c>
      <c r="L19" s="37">
        <f>[5]CoGS!L152/1000</f>
        <v>3.67723715680162</v>
      </c>
      <c r="M19" s="37">
        <f>[5]CoGS!M152/1000</f>
        <v>3.67723715680162</v>
      </c>
      <c r="N19" s="37">
        <f>[5]CoGS!N152/1000</f>
        <v>3.67723715680162</v>
      </c>
      <c r="O19" s="37">
        <f>[5]CoGS!O152/1000</f>
        <v>3.67723715680162</v>
      </c>
      <c r="P19" s="37">
        <f>[5]CoGS!P152/1000</f>
        <v>3.67723715680162</v>
      </c>
      <c r="Q19" s="218">
        <f t="shared" si="2"/>
        <v>44.126845881619431</v>
      </c>
      <c r="R19" s="4"/>
    </row>
    <row r="20" spans="1:19" ht="25.15" customHeight="1" x14ac:dyDescent="0.3">
      <c r="A20" s="1"/>
      <c r="B20" s="32">
        <v>11</v>
      </c>
      <c r="C20" s="1" t="s">
        <v>16</v>
      </c>
      <c r="D20" s="37"/>
      <c r="E20" s="37">
        <f>('[5]Operating Expenses'!E17-'[5]Operating Expenses'!E13)/1000</f>
        <v>109.554</v>
      </c>
      <c r="F20" s="37">
        <f>('[5]Operating Expenses'!F17-'[5]Operating Expenses'!F13)/1000</f>
        <v>109.55400000000002</v>
      </c>
      <c r="G20" s="37">
        <f>('[5]Operating Expenses'!G17-'[5]Operating Expenses'!G13)/1000</f>
        <v>109.554</v>
      </c>
      <c r="H20" s="37">
        <f>('[5]Operating Expenses'!H17-'[5]Operating Expenses'!H13)/1000</f>
        <v>109.55400000000002</v>
      </c>
      <c r="I20" s="37">
        <f>('[5]Operating Expenses'!I17-'[5]Operating Expenses'!I13)/1000</f>
        <v>109.554</v>
      </c>
      <c r="J20" s="37">
        <f>('[5]Operating Expenses'!J17-'[5]Operating Expenses'!J13)/1000</f>
        <v>109.554</v>
      </c>
      <c r="K20" s="37">
        <f>('[5]Operating Expenses'!K17-'[5]Operating Expenses'!K13)/1000</f>
        <v>109.554</v>
      </c>
      <c r="L20" s="37">
        <f>('[5]Operating Expenses'!L17-'[5]Operating Expenses'!L13)/1000</f>
        <v>109.554</v>
      </c>
      <c r="M20" s="37">
        <f>('[5]Operating Expenses'!M17-'[5]Operating Expenses'!M13)/1000</f>
        <v>109.554</v>
      </c>
      <c r="N20" s="37">
        <f>('[5]Operating Expenses'!N17-'[5]Operating Expenses'!N13)/1000</f>
        <v>109.554</v>
      </c>
      <c r="O20" s="37">
        <f>('[5]Operating Expenses'!O17-'[5]Operating Expenses'!O13)/1000</f>
        <v>109.554</v>
      </c>
      <c r="P20" s="37">
        <f>('[5]Operating Expenses'!P17-'[5]Operating Expenses'!P13)/1000</f>
        <v>109.554</v>
      </c>
      <c r="Q20" s="217">
        <f t="shared" si="2"/>
        <v>1314.6480000000001</v>
      </c>
      <c r="R20" s="4"/>
    </row>
    <row r="21" spans="1:19" ht="25.15" customHeight="1" x14ac:dyDescent="0.3">
      <c r="A21" s="1"/>
      <c r="B21" s="32">
        <v>12</v>
      </c>
      <c r="C21" s="1" t="s">
        <v>17</v>
      </c>
      <c r="D21" s="37"/>
      <c r="E21" s="37">
        <f>'[5]Operating Expenses'!E13/1000</f>
        <v>59.440853500000003</v>
      </c>
      <c r="F21" s="37">
        <f>'[5]Operating Expenses'!F13/1000</f>
        <v>71.305272500000001</v>
      </c>
      <c r="G21" s="37">
        <f>'[5]Operating Expenses'!G13/1000</f>
        <v>75.683013000000003</v>
      </c>
      <c r="H21" s="37">
        <f>'[5]Operating Expenses'!H13/1000</f>
        <v>88.116066500000002</v>
      </c>
      <c r="I21" s="37">
        <f>'[5]Operating Expenses'!I13/1000</f>
        <v>50.136446499999998</v>
      </c>
      <c r="J21" s="37">
        <f>'[5]Operating Expenses'!J13/1000</f>
        <v>34.301806000000006</v>
      </c>
      <c r="K21" s="37">
        <f>'[5]Operating Expenses'!K13/1000</f>
        <v>19.346617500000001</v>
      </c>
      <c r="L21" s="37">
        <f>'[5]Operating Expenses'!L13/1000</f>
        <v>15.8833465</v>
      </c>
      <c r="M21" s="37">
        <f>'[5]Operating Expenses'!M13/1000</f>
        <v>7.6281439268442686</v>
      </c>
      <c r="N21" s="37">
        <f>'[5]Operating Expenses'!N13/1000</f>
        <v>8.7549176315393211</v>
      </c>
      <c r="O21" s="37">
        <f>'[5]Operating Expenses'!O13/1000</f>
        <v>15.250177425000004</v>
      </c>
      <c r="P21" s="37">
        <f>'[5]Operating Expenses'!P13/1000</f>
        <v>34.553569006250008</v>
      </c>
      <c r="Q21" s="217">
        <f t="shared" si="2"/>
        <v>480.4002299896336</v>
      </c>
      <c r="R21" s="4"/>
    </row>
    <row r="22" spans="1:19" ht="25.15" customHeight="1" x14ac:dyDescent="0.3">
      <c r="A22" s="1"/>
      <c r="B22" s="32">
        <v>13</v>
      </c>
      <c r="C22" s="1" t="s">
        <v>18</v>
      </c>
      <c r="D22" s="37"/>
      <c r="E22" s="37">
        <f>[5]CoGS!E154/1000</f>
        <v>-50.094999999999999</v>
      </c>
      <c r="F22" s="37">
        <f>[5]CoGS!F154/1000</f>
        <v>-101.407</v>
      </c>
      <c r="G22" s="37">
        <f>[5]CoGS!G154/1000</f>
        <v>-86.378</v>
      </c>
      <c r="H22" s="37">
        <f>[5]CoGS!H154/1000</f>
        <v>-105.158</v>
      </c>
      <c r="I22" s="37">
        <f>[5]CoGS!I154/1000</f>
        <v>-144.05312000000001</v>
      </c>
      <c r="J22" s="37">
        <f>[5]CoGS!J154/1000</f>
        <v>-94.19041</v>
      </c>
      <c r="K22" s="37">
        <f>[5]CoGS!K154/1000</f>
        <v>-88.879329999999996</v>
      </c>
      <c r="L22" s="37">
        <f>[5]CoGS!L154/1000</f>
        <v>-73.751609999999999</v>
      </c>
      <c r="M22" s="37">
        <f>[5]CoGS!M154/1000</f>
        <v>-39.267559999999996</v>
      </c>
      <c r="N22" s="37">
        <f>[5]CoGS!N154/1000</f>
        <v>-37.082000000000001</v>
      </c>
      <c r="O22" s="37">
        <f>[5]CoGS!O154/1000</f>
        <v>-42.508000000000003</v>
      </c>
      <c r="P22" s="37">
        <f>[5]CoGS!P154/1000</f>
        <v>-31.026</v>
      </c>
      <c r="Q22" s="217">
        <f t="shared" si="2"/>
        <v>-893.79603000000009</v>
      </c>
      <c r="R22" s="4"/>
    </row>
    <row r="23" spans="1:19" ht="25.15" customHeight="1" x14ac:dyDescent="0.3">
      <c r="A23" s="1"/>
      <c r="B23" s="32">
        <v>14</v>
      </c>
      <c r="C23" s="1" t="s">
        <v>19</v>
      </c>
      <c r="D23" s="37"/>
      <c r="E23" s="37">
        <f>[5]CoGS!E158/1000</f>
        <v>-83.071862100083735</v>
      </c>
      <c r="F23" s="37">
        <f>[5]CoGS!F158/1000</f>
        <v>-104.04171069604111</v>
      </c>
      <c r="G23" s="37">
        <f>[5]CoGS!G158/1000</f>
        <v>-133.5514718599739</v>
      </c>
      <c r="H23" s="37">
        <f>[5]CoGS!H158/1000</f>
        <v>-133.84879867113997</v>
      </c>
      <c r="I23" s="37">
        <f>[5]CoGS!I158/1000</f>
        <v>-168.7503054928271</v>
      </c>
      <c r="J23" s="37">
        <f>[5]CoGS!J158/1000</f>
        <v>-163.94109169409606</v>
      </c>
      <c r="K23" s="37">
        <f>[5]CoGS!K158/1000</f>
        <v>-90.663213530849887</v>
      </c>
      <c r="L23" s="37">
        <f>[5]CoGS!L158/1000</f>
        <v>-70.001254836559923</v>
      </c>
      <c r="M23" s="37">
        <f>[5]CoGS!M158/1000</f>
        <v>-19.144373643598879</v>
      </c>
      <c r="N23" s="37">
        <f>[5]CoGS!N158/1000</f>
        <v>-38.948947374338942</v>
      </c>
      <c r="O23" s="37">
        <f>[5]CoGS!O158/1000</f>
        <v>-112.27175610116582</v>
      </c>
      <c r="P23" s="37">
        <f>[5]CoGS!P158/1000</f>
        <v>-123.48965164023026</v>
      </c>
      <c r="Q23" s="217">
        <f t="shared" si="2"/>
        <v>-1241.7244376409058</v>
      </c>
      <c r="R23" s="4"/>
    </row>
    <row r="24" spans="1:19" ht="25.15" customHeight="1" x14ac:dyDescent="0.3">
      <c r="A24" s="1"/>
      <c r="B24" s="219">
        <v>15</v>
      </c>
      <c r="C24" s="220" t="s">
        <v>20</v>
      </c>
      <c r="D24" s="221"/>
      <c r="E24" s="221">
        <f t="shared" ref="E24:P24" si="3">SUM(E17:E23)</f>
        <v>19065.287799396148</v>
      </c>
      <c r="F24" s="221">
        <f t="shared" si="3"/>
        <v>22643.162188510407</v>
      </c>
      <c r="G24" s="221">
        <f t="shared" si="3"/>
        <v>23742.105368769233</v>
      </c>
      <c r="H24" s="221">
        <f t="shared" si="3"/>
        <v>28211.167382829626</v>
      </c>
      <c r="I24" s="221">
        <f t="shared" si="3"/>
        <v>16124.694925936969</v>
      </c>
      <c r="J24" s="221">
        <f t="shared" si="3"/>
        <v>12265.173423359889</v>
      </c>
      <c r="K24" s="221">
        <f t="shared" si="3"/>
        <v>7085.1661985631408</v>
      </c>
      <c r="L24" s="221">
        <f t="shared" si="3"/>
        <v>6003.6853242568686</v>
      </c>
      <c r="M24" s="221">
        <f t="shared" si="3"/>
        <v>3063.4716599728968</v>
      </c>
      <c r="N24" s="221">
        <f t="shared" si="3"/>
        <v>3588.2583580544829</v>
      </c>
      <c r="O24" s="221">
        <f t="shared" si="3"/>
        <v>6029.4722071654205</v>
      </c>
      <c r="P24" s="221">
        <f t="shared" si="3"/>
        <v>13957.15012521087</v>
      </c>
      <c r="Q24" s="222">
        <f t="shared" si="2"/>
        <v>161778.79496202592</v>
      </c>
      <c r="R24" s="4"/>
      <c r="S24" s="213"/>
    </row>
    <row r="25" spans="1:19" ht="25.15" customHeight="1" x14ac:dyDescent="0.3">
      <c r="A25" s="1"/>
      <c r="B25" s="32">
        <v>16</v>
      </c>
      <c r="C25" s="223" t="s">
        <v>130</v>
      </c>
      <c r="D25" s="1"/>
      <c r="E25" s="33">
        <f>[5]CoGS!E174/1000</f>
        <v>16983.100999999999</v>
      </c>
      <c r="F25" s="33">
        <f>[5]CoGS!F174/1000</f>
        <v>20372.935000000001</v>
      </c>
      <c r="G25" s="33">
        <f>[5]CoGS!G174/1000</f>
        <v>21623.718000000001</v>
      </c>
      <c r="H25" s="33">
        <f>[5]CoGS!H174/1000</f>
        <v>25176.019</v>
      </c>
      <c r="I25" s="33">
        <f>[5]CoGS!I174/1000</f>
        <v>14324.699000000001</v>
      </c>
      <c r="J25" s="33">
        <f>[5]CoGS!J174/1000</f>
        <v>9800.5159999999996</v>
      </c>
      <c r="K25" s="33">
        <f>[5]CoGS!K174/1000</f>
        <v>5527.6049999999996</v>
      </c>
      <c r="L25" s="33">
        <f>[5]CoGS!L174/1000</f>
        <v>4538.0990000000002</v>
      </c>
      <c r="M25" s="33">
        <f>[5]CoGS!M174/1000</f>
        <v>2179.4696933840764</v>
      </c>
      <c r="N25" s="33">
        <f>[5]CoGS!N174/1000</f>
        <v>2501.4050375826632</v>
      </c>
      <c r="O25" s="33">
        <f>[5]CoGS!O174/1000</f>
        <v>4357.1935500000009</v>
      </c>
      <c r="P25" s="33">
        <f>[5]CoGS!P174/1000</f>
        <v>9872.4482875000012</v>
      </c>
      <c r="Q25" s="214">
        <f t="shared" si="2"/>
        <v>137257.20856846674</v>
      </c>
      <c r="R25" s="4"/>
    </row>
    <row r="26" spans="1:19" ht="25.15" customHeight="1" x14ac:dyDescent="0.3">
      <c r="A26" s="1"/>
      <c r="B26" s="20">
        <v>17</v>
      </c>
      <c r="C26" s="224" t="s">
        <v>131</v>
      </c>
      <c r="D26" s="28"/>
      <c r="E26" s="225">
        <f>[5]CoGS!E122/1000</f>
        <v>13.770650111289346</v>
      </c>
      <c r="F26" s="225">
        <f>[5]CoGS!F122/1000</f>
        <v>-0.29470716282259174</v>
      </c>
      <c r="G26" s="225">
        <f>[5]CoGS!G122/1000</f>
        <v>0.29362505648509613</v>
      </c>
      <c r="H26" s="225">
        <f>[5]CoGS!H122/1000</f>
        <v>-3.0048457735179227E-2</v>
      </c>
      <c r="I26" s="225">
        <f>[5]CoGS!I122/1000</f>
        <v>-0.1206412997799589</v>
      </c>
      <c r="J26" s="225">
        <f>[5]CoGS!J122/1000</f>
        <v>1.1209066348302429E-2</v>
      </c>
      <c r="K26" s="225">
        <f>[5]CoGS!K122/1000</f>
        <v>1.2405577813823911</v>
      </c>
      <c r="L26" s="225">
        <f>[5]CoGS!L122/1000</f>
        <v>0</v>
      </c>
      <c r="M26" s="225">
        <f>[5]CoGS!M122/1000</f>
        <v>0</v>
      </c>
      <c r="N26" s="225">
        <f>[5]CoGS!N122/1000</f>
        <v>0.33751949683103044</v>
      </c>
      <c r="O26" s="225">
        <f>[5]CoGS!O122/1000</f>
        <v>0</v>
      </c>
      <c r="P26" s="225">
        <f>[5]CoGS!P122/1000</f>
        <v>0</v>
      </c>
      <c r="Q26" s="226">
        <f t="shared" si="2"/>
        <v>15.208164591998436</v>
      </c>
      <c r="R26" s="4"/>
      <c r="S26" s="216"/>
    </row>
    <row r="27" spans="1:19" ht="25.15" customHeight="1" x14ac:dyDescent="0.3">
      <c r="A27" s="1"/>
      <c r="B27" s="219">
        <v>18</v>
      </c>
      <c r="C27" s="227" t="s">
        <v>22</v>
      </c>
      <c r="D27" s="227"/>
      <c r="E27" s="37">
        <f t="shared" ref="E27:P27" si="4">E24-E25-E26</f>
        <v>2068.4161492848602</v>
      </c>
      <c r="F27" s="37">
        <f t="shared" si="4"/>
        <v>2270.5218956732283</v>
      </c>
      <c r="G27" s="37">
        <f t="shared" si="4"/>
        <v>2118.0937437127473</v>
      </c>
      <c r="H27" s="37">
        <f t="shared" si="4"/>
        <v>3035.178431287361</v>
      </c>
      <c r="I27" s="37">
        <f t="shared" si="4"/>
        <v>1800.1165672367479</v>
      </c>
      <c r="J27" s="37">
        <f t="shared" si="4"/>
        <v>2464.6462142935411</v>
      </c>
      <c r="K27" s="37">
        <f t="shared" si="4"/>
        <v>1556.3206407817588</v>
      </c>
      <c r="L27" s="37">
        <f t="shared" si="4"/>
        <v>1465.5863242568685</v>
      </c>
      <c r="M27" s="37">
        <f t="shared" si="4"/>
        <v>884.00196658882032</v>
      </c>
      <c r="N27" s="37">
        <f t="shared" si="4"/>
        <v>1086.5158009749887</v>
      </c>
      <c r="O27" s="37">
        <f t="shared" si="4"/>
        <v>1672.2786571654196</v>
      </c>
      <c r="P27" s="37">
        <f t="shared" si="4"/>
        <v>4084.7018377108689</v>
      </c>
      <c r="Q27" s="42">
        <f t="shared" si="2"/>
        <v>24506.378228967216</v>
      </c>
      <c r="R27" s="4"/>
      <c r="S27" s="216"/>
    </row>
    <row r="28" spans="1:19" ht="25.15" customHeight="1" x14ac:dyDescent="0.3">
      <c r="A28" s="1"/>
      <c r="B28" s="20">
        <v>19</v>
      </c>
      <c r="C28" s="28" t="s">
        <v>23</v>
      </c>
      <c r="D28" s="28"/>
      <c r="E28" s="22">
        <f>[5]CoGS!E178/1000</f>
        <v>-0.32898297443189084</v>
      </c>
      <c r="F28" s="22">
        <f>[5]CoGS!F178/1000</f>
        <v>-0.25150439288117227</v>
      </c>
      <c r="G28" s="22">
        <f>[5]CoGS!G178/1000</f>
        <v>-5.6792383865128786E-3</v>
      </c>
      <c r="H28" s="22">
        <f>[5]CoGS!H178/1000</f>
        <v>0.11474862679075633</v>
      </c>
      <c r="I28" s="22">
        <f>[5]CoGS!I178/1000</f>
        <v>0.60475582487638224</v>
      </c>
      <c r="J28" s="22">
        <f>[5]CoGS!J178/1000</f>
        <v>0.6367715633277462</v>
      </c>
      <c r="K28" s="22">
        <f>[5]CoGS!K178/1000</f>
        <v>0.84582600780132078</v>
      </c>
      <c r="L28" s="22">
        <f>[5]CoGS!L178/1000</f>
        <v>1.0419796920941682</v>
      </c>
      <c r="M28" s="22">
        <f>[5]CoGS!M178/1000</f>
        <v>1.4955559911344074</v>
      </c>
      <c r="N28" s="22">
        <f>[5]CoGS!N178/1000</f>
        <v>1.8372186434006559</v>
      </c>
      <c r="O28" s="22">
        <f>[5]CoGS!O178/1000</f>
        <v>1.9706912208923706</v>
      </c>
      <c r="P28" s="22">
        <f>[5]CoGS!P178/1000</f>
        <v>2.4519876023376144</v>
      </c>
      <c r="Q28" s="226">
        <f t="shared" si="2"/>
        <v>10.413368566955846</v>
      </c>
      <c r="R28" s="4"/>
    </row>
    <row r="29" spans="1:19" ht="25.15" customHeight="1" x14ac:dyDescent="0.3">
      <c r="A29" s="1"/>
      <c r="B29" s="32">
        <v>20</v>
      </c>
      <c r="C29" s="1" t="s">
        <v>132</v>
      </c>
      <c r="D29" s="1"/>
      <c r="E29" s="37">
        <f t="shared" ref="E29:Q29" si="5">E11+E27+E28</f>
        <v>-3540.5349278443841</v>
      </c>
      <c r="F29" s="37">
        <f t="shared" si="5"/>
        <v>-1270.2645365640369</v>
      </c>
      <c r="G29" s="37">
        <f t="shared" si="5"/>
        <v>847.82352791032383</v>
      </c>
      <c r="H29" s="37">
        <f t="shared" si="5"/>
        <v>3883.1167078244757</v>
      </c>
      <c r="I29" s="37">
        <f t="shared" si="5"/>
        <v>5683.8380308861006</v>
      </c>
      <c r="J29" s="37">
        <f t="shared" si="5"/>
        <v>8149.121016742969</v>
      </c>
      <c r="K29" s="37">
        <f t="shared" si="5"/>
        <v>9706.2874835325274</v>
      </c>
      <c r="L29" s="37">
        <f t="shared" si="5"/>
        <v>11172.91578748149</v>
      </c>
      <c r="M29" s="37">
        <f t="shared" si="5"/>
        <v>12058.413310061444</v>
      </c>
      <c r="N29" s="37">
        <f t="shared" si="5"/>
        <v>13146.766329679833</v>
      </c>
      <c r="O29" s="37">
        <f t="shared" si="5"/>
        <v>14821.015678066145</v>
      </c>
      <c r="P29" s="37">
        <f t="shared" si="5"/>
        <v>18908.169503379351</v>
      </c>
      <c r="Q29" s="42">
        <f t="shared" si="5"/>
        <v>18908.169503379359</v>
      </c>
      <c r="R29" s="4"/>
    </row>
    <row r="30" spans="1:19" ht="25.15" customHeight="1" thickBot="1" x14ac:dyDescent="0.35">
      <c r="A30" s="1"/>
      <c r="B30" s="51"/>
      <c r="C30" s="52"/>
      <c r="D30" s="52"/>
      <c r="E30" s="52"/>
      <c r="F30" s="52"/>
      <c r="G30" s="52"/>
      <c r="H30" s="52"/>
      <c r="I30" s="52"/>
      <c r="J30" s="52"/>
      <c r="K30" s="52"/>
      <c r="L30" s="53"/>
      <c r="M30" s="53"/>
      <c r="N30" s="53"/>
      <c r="O30" s="53"/>
      <c r="P30" s="53"/>
      <c r="Q30" s="54"/>
      <c r="R30" s="4"/>
    </row>
    <row r="31" spans="1:19" x14ac:dyDescent="0.3">
      <c r="A31" s="1"/>
      <c r="B31" s="10"/>
      <c r="C31" s="1"/>
      <c r="D31" s="1"/>
      <c r="E31" s="1"/>
      <c r="F31" s="1"/>
      <c r="G31" s="1"/>
      <c r="H31" s="1"/>
      <c r="I31" s="1"/>
      <c r="J31" s="1"/>
      <c r="K31" s="1"/>
      <c r="L31" s="1"/>
      <c r="M31" s="1"/>
      <c r="N31" s="1"/>
      <c r="O31" s="1"/>
      <c r="P31" s="1"/>
      <c r="Q31" s="1"/>
      <c r="R31" s="4"/>
    </row>
    <row r="32" spans="1:19" ht="15.75" thickBot="1" x14ac:dyDescent="0.35">
      <c r="A32" s="1"/>
      <c r="B32" s="10"/>
      <c r="C32" s="1"/>
      <c r="D32" s="1"/>
      <c r="E32" s="58"/>
      <c r="F32" s="58"/>
      <c r="G32" s="58"/>
      <c r="H32" s="58"/>
      <c r="I32" s="58"/>
      <c r="J32" s="58"/>
      <c r="K32" s="58"/>
      <c r="L32" s="58"/>
      <c r="M32" s="58"/>
      <c r="N32" s="58"/>
      <c r="O32" s="58"/>
      <c r="P32" s="58"/>
      <c r="Q32" s="58"/>
      <c r="R32" s="4"/>
    </row>
    <row r="33" spans="1:20" ht="18" x14ac:dyDescent="0.35">
      <c r="A33" s="1"/>
      <c r="B33" s="228" t="s">
        <v>25</v>
      </c>
      <c r="C33" s="229"/>
      <c r="D33" s="229"/>
      <c r="E33" s="229"/>
      <c r="F33" s="229"/>
      <c r="G33" s="229"/>
      <c r="H33" s="229"/>
      <c r="I33" s="229"/>
      <c r="J33" s="229"/>
      <c r="K33" s="229"/>
      <c r="L33" s="229"/>
      <c r="M33" s="229"/>
      <c r="N33" s="229"/>
      <c r="O33" s="229"/>
      <c r="P33" s="229"/>
      <c r="Q33" s="230"/>
      <c r="R33" s="4"/>
    </row>
    <row r="34" spans="1:20" ht="15.75" thickBot="1" x14ac:dyDescent="0.35">
      <c r="A34" s="1"/>
      <c r="B34" s="6"/>
      <c r="C34" s="1"/>
      <c r="D34" s="1"/>
      <c r="E34" s="58"/>
      <c r="F34" s="58"/>
      <c r="G34" s="58"/>
      <c r="H34" s="58"/>
      <c r="I34" s="58"/>
      <c r="J34" s="58"/>
      <c r="K34" s="58"/>
      <c r="L34" s="58"/>
      <c r="M34" s="58"/>
      <c r="N34" s="58"/>
      <c r="O34" s="58"/>
      <c r="P34" s="58"/>
      <c r="Q34" s="231"/>
      <c r="R34" s="4"/>
    </row>
    <row r="35" spans="1:20" x14ac:dyDescent="0.3">
      <c r="A35" s="1"/>
      <c r="B35" s="12"/>
      <c r="C35" s="13"/>
      <c r="D35" s="64"/>
      <c r="E35" s="14">
        <f t="shared" ref="E35:P36" si="6">E8</f>
        <v>44136</v>
      </c>
      <c r="F35" s="14">
        <f t="shared" si="6"/>
        <v>44166</v>
      </c>
      <c r="G35" s="14">
        <f t="shared" si="6"/>
        <v>44197</v>
      </c>
      <c r="H35" s="14">
        <f t="shared" si="6"/>
        <v>44228</v>
      </c>
      <c r="I35" s="14">
        <f t="shared" si="6"/>
        <v>44256</v>
      </c>
      <c r="J35" s="14">
        <f t="shared" si="6"/>
        <v>44287</v>
      </c>
      <c r="K35" s="14">
        <f t="shared" si="6"/>
        <v>44317</v>
      </c>
      <c r="L35" s="14">
        <f t="shared" si="6"/>
        <v>44348</v>
      </c>
      <c r="M35" s="14">
        <f t="shared" si="6"/>
        <v>44378</v>
      </c>
      <c r="N35" s="14">
        <f t="shared" si="6"/>
        <v>44409</v>
      </c>
      <c r="O35" s="14">
        <f t="shared" si="6"/>
        <v>44440</v>
      </c>
      <c r="P35" s="14">
        <f t="shared" si="6"/>
        <v>44470</v>
      </c>
      <c r="Q35" s="65" t="s">
        <v>4</v>
      </c>
      <c r="R35" s="4"/>
    </row>
    <row r="36" spans="1:20" ht="15.75" thickBot="1" x14ac:dyDescent="0.35">
      <c r="A36" s="1"/>
      <c r="B36" s="205" t="s">
        <v>5</v>
      </c>
      <c r="C36" s="206" t="s">
        <v>6</v>
      </c>
      <c r="D36" s="206"/>
      <c r="E36" s="206"/>
      <c r="F36" s="206"/>
      <c r="G36" s="206"/>
      <c r="H36" s="206"/>
      <c r="I36" s="206"/>
      <c r="J36" s="206"/>
      <c r="K36" s="206"/>
      <c r="L36" s="206"/>
      <c r="M36" s="206"/>
      <c r="N36" s="206"/>
      <c r="O36" s="206" t="str">
        <f t="shared" si="6"/>
        <v>Forecast</v>
      </c>
      <c r="P36" s="206" t="str">
        <f t="shared" si="6"/>
        <v>Forecast</v>
      </c>
      <c r="Q36" s="207"/>
      <c r="R36" s="4"/>
    </row>
    <row r="37" spans="1:20" ht="25.15" customHeight="1" x14ac:dyDescent="0.3">
      <c r="A37" s="1"/>
      <c r="B37" s="59">
        <v>21</v>
      </c>
      <c r="C37" s="56" t="s">
        <v>26</v>
      </c>
      <c r="D37" s="232"/>
      <c r="E37" s="232">
        <f>[5]CoGS!E20/1000</f>
        <v>6711.143</v>
      </c>
      <c r="F37" s="232">
        <f>[5]CoGS!F20/1000</f>
        <v>8137.1710000000003</v>
      </c>
      <c r="G37" s="232">
        <f>[5]CoGS!G20/1000</f>
        <v>8579.241</v>
      </c>
      <c r="H37" s="232">
        <f>[5]CoGS!H20/1000</f>
        <v>9962.2039999999997</v>
      </c>
      <c r="I37" s="232">
        <f>[5]CoGS!I20/1000</f>
        <v>5692.2219999999998</v>
      </c>
      <c r="J37" s="232">
        <f>[5]CoGS!J20/1000</f>
        <v>3894.32</v>
      </c>
      <c r="K37" s="232">
        <f>[5]CoGS!K20/1000</f>
        <v>2189.009</v>
      </c>
      <c r="L37" s="232">
        <f>[5]CoGS!L20/1000</f>
        <v>1777.059</v>
      </c>
      <c r="M37" s="232">
        <f>[5]CoGS!M20/1000</f>
        <v>840.26199999999994</v>
      </c>
      <c r="N37" s="232">
        <f>[5]CoGS!N20/1000</f>
        <v>997.55356999999992</v>
      </c>
      <c r="O37" s="232">
        <f>[5]CoGS!O20/1000</f>
        <v>1692.114</v>
      </c>
      <c r="P37" s="232">
        <f>[5]CoGS!P20/1000</f>
        <v>3833.9605000000001</v>
      </c>
      <c r="Q37" s="68">
        <f>SUM(E37:P38)</f>
        <v>54372.25907</v>
      </c>
      <c r="R37" s="4"/>
    </row>
    <row r="38" spans="1:20" ht="25.15" hidden="1" customHeight="1" x14ac:dyDescent="0.3">
      <c r="A38" s="1"/>
      <c r="B38" s="32" t="s">
        <v>133</v>
      </c>
      <c r="C38" s="1" t="s">
        <v>27</v>
      </c>
      <c r="D38" s="69"/>
      <c r="E38" s="69">
        <v>0</v>
      </c>
      <c r="F38" s="69">
        <v>1</v>
      </c>
      <c r="G38" s="69">
        <v>2</v>
      </c>
      <c r="H38" s="69">
        <v>3</v>
      </c>
      <c r="I38" s="69">
        <v>4</v>
      </c>
      <c r="J38" s="69">
        <v>5</v>
      </c>
      <c r="K38" s="69">
        <v>6</v>
      </c>
      <c r="L38" s="69">
        <v>7</v>
      </c>
      <c r="M38" s="69">
        <v>8</v>
      </c>
      <c r="N38" s="69">
        <v>9</v>
      </c>
      <c r="O38" s="69">
        <v>10</v>
      </c>
      <c r="P38" s="69">
        <v>11</v>
      </c>
      <c r="Q38" s="42"/>
      <c r="R38" s="4"/>
    </row>
    <row r="39" spans="1:20" ht="25.15" customHeight="1" x14ac:dyDescent="0.3">
      <c r="A39" s="1"/>
      <c r="B39" s="32">
        <v>22</v>
      </c>
      <c r="C39" s="1" t="s">
        <v>28</v>
      </c>
      <c r="D39" s="67"/>
      <c r="E39" s="67">
        <f>([5]CoGS!E17-[5]CoGS!E11)/1000</f>
        <v>6476.5640000000003</v>
      </c>
      <c r="F39" s="67">
        <f>([5]CoGS!F17-[5]CoGS!F11)/1000</f>
        <v>4896.8869999999997</v>
      </c>
      <c r="G39" s="67">
        <f>([5]CoGS!G17-[5]CoGS!G11)/1000</f>
        <v>4141.7389999999996</v>
      </c>
      <c r="H39" s="67">
        <f>([5]CoGS!H17-[5]CoGS!H11)/1000</f>
        <v>5164.0029999999997</v>
      </c>
      <c r="I39" s="67">
        <f>([5]CoGS!I17-[5]CoGS!I11)/1000</f>
        <v>3717.68</v>
      </c>
      <c r="J39" s="67">
        <f>([5]CoGS!J17-[5]CoGS!J11)/1000</f>
        <v>3552.848</v>
      </c>
      <c r="K39" s="67">
        <f>([5]CoGS!K17-[5]CoGS!K11)/1000</f>
        <v>4368.1880000000001</v>
      </c>
      <c r="L39" s="67">
        <f>([5]CoGS!L17-[5]CoGS!L11)/1000</f>
        <v>4053.0619999999999</v>
      </c>
      <c r="M39" s="67">
        <f>([5]CoGS!M17-[5]CoGS!M11)/1000</f>
        <v>4215.9129999999996</v>
      </c>
      <c r="N39" s="67">
        <f>([5]CoGS!N17-[5]CoGS!N11)/1000</f>
        <v>4181.65157</v>
      </c>
      <c r="O39" s="67">
        <f>([5]CoGS!O17-[5]CoGS!O11)/1000</f>
        <v>4587.1049999999996</v>
      </c>
      <c r="P39" s="67">
        <f>([5]CoGS!P17-[5]CoGS!P11)/1000</f>
        <v>4739.9444999999996</v>
      </c>
      <c r="Q39" s="68">
        <f>SUM(E39:P39)</f>
        <v>54095.585070000001</v>
      </c>
      <c r="R39" s="4"/>
      <c r="S39" s="71"/>
    </row>
    <row r="40" spans="1:20" ht="25.15" customHeight="1" x14ac:dyDescent="0.3">
      <c r="A40" s="1"/>
      <c r="B40" s="32">
        <v>23</v>
      </c>
      <c r="C40" s="1" t="s">
        <v>134</v>
      </c>
      <c r="D40" s="69"/>
      <c r="E40" s="69">
        <f t="shared" ref="E40:P40" si="7">E17/E39</f>
        <v>2.8283748373537709</v>
      </c>
      <c r="F40" s="69">
        <f t="shared" si="7"/>
        <v>2.8329345342943748</v>
      </c>
      <c r="G40" s="69">
        <f t="shared" si="7"/>
        <v>2.8348530448337006</v>
      </c>
      <c r="H40" s="69">
        <f t="shared" si="7"/>
        <v>2.9535437821283734</v>
      </c>
      <c r="I40" s="69">
        <f t="shared" si="7"/>
        <v>2.9099185940425802</v>
      </c>
      <c r="J40" s="69">
        <f t="shared" si="7"/>
        <v>3.1862444914801729</v>
      </c>
      <c r="K40" s="69">
        <f t="shared" si="7"/>
        <v>3.2169898726385817</v>
      </c>
      <c r="L40" s="69">
        <f t="shared" si="7"/>
        <v>3.3476437345394672</v>
      </c>
      <c r="M40" s="69">
        <f t="shared" si="7"/>
        <v>3.5493531294407643</v>
      </c>
      <c r="N40" s="69">
        <f t="shared" si="7"/>
        <v>3.5128598697420483</v>
      </c>
      <c r="O40" s="69">
        <f t="shared" si="7"/>
        <v>3.5133982675347526</v>
      </c>
      <c r="P40" s="69">
        <f t="shared" si="7"/>
        <v>3.610213332666659</v>
      </c>
      <c r="Q40" s="42"/>
      <c r="R40" s="4"/>
    </row>
    <row r="41" spans="1:20" ht="25.15" customHeight="1" x14ac:dyDescent="0.3">
      <c r="A41" s="1"/>
      <c r="B41" s="32">
        <v>24</v>
      </c>
      <c r="C41" s="1" t="s">
        <v>14</v>
      </c>
      <c r="D41" s="72"/>
      <c r="E41" s="72">
        <f t="shared" ref="E41:P41" si="8">E18/E42</f>
        <v>263.82099999999997</v>
      </c>
      <c r="F41" s="72">
        <f t="shared" si="8"/>
        <v>3277.6730000000002</v>
      </c>
      <c r="G41" s="72">
        <f t="shared" si="8"/>
        <v>4485.7610000000004</v>
      </c>
      <c r="H41" s="72">
        <f t="shared" si="8"/>
        <v>4845.4670000000006</v>
      </c>
      <c r="I41" s="72">
        <f t="shared" si="8"/>
        <v>2034.1130000000001</v>
      </c>
      <c r="J41" s="72">
        <f t="shared" si="8"/>
        <v>393.52500000000003</v>
      </c>
      <c r="K41" s="72">
        <f t="shared" si="8"/>
        <v>-2580.0372091146414</v>
      </c>
      <c r="L41" s="72">
        <f t="shared" si="8"/>
        <v>-2814.7655435305369</v>
      </c>
      <c r="M41" s="72">
        <f t="shared" si="8"/>
        <v>-4459.9768340323917</v>
      </c>
      <c r="N41" s="72">
        <f t="shared" si="8"/>
        <v>-4155.945068410414</v>
      </c>
      <c r="O41" s="72">
        <f t="shared" si="8"/>
        <v>-3750.8002712685238</v>
      </c>
      <c r="P41" s="72">
        <f t="shared" si="8"/>
        <v>-1173.7677562070205</v>
      </c>
      <c r="Q41" s="74">
        <f>SUM(E41:P41)</f>
        <v>-3634.932682563528</v>
      </c>
      <c r="R41" s="4"/>
    </row>
    <row r="42" spans="1:20" ht="25.15" customHeight="1" x14ac:dyDescent="0.3">
      <c r="A42" s="1"/>
      <c r="B42" s="32">
        <v>25</v>
      </c>
      <c r="C42" s="1" t="s">
        <v>135</v>
      </c>
      <c r="D42" s="69"/>
      <c r="E42" s="69">
        <f>[5]Inventory!$B$12</f>
        <v>2.6822425839040283</v>
      </c>
      <c r="F42" s="69">
        <f>[5]Inventory!$B$12</f>
        <v>2.6822425839040283</v>
      </c>
      <c r="G42" s="69">
        <f>[5]Inventory!$B$12</f>
        <v>2.6822425839040283</v>
      </c>
      <c r="H42" s="69">
        <f>[5]Inventory!$B$12</f>
        <v>2.6822425839040283</v>
      </c>
      <c r="I42" s="69">
        <f>[5]Inventory!$B$12</f>
        <v>2.6822425839040283</v>
      </c>
      <c r="J42" s="69">
        <f>[5]Inventory!$B$12</f>
        <v>2.6822425839040283</v>
      </c>
      <c r="K42" s="69">
        <f>[5]Inventory!$B$12</f>
        <v>2.6822425839040283</v>
      </c>
      <c r="L42" s="69">
        <f>[5]Inventory!$B$12</f>
        <v>2.6822425839040283</v>
      </c>
      <c r="M42" s="69">
        <f>[5]Inventory!$B$12</f>
        <v>2.6822425839040283</v>
      </c>
      <c r="N42" s="69">
        <f>[5]Inventory!$B$12</f>
        <v>2.6822425839040283</v>
      </c>
      <c r="O42" s="69">
        <f>[5]Inventory!$B$12</f>
        <v>2.6822425839040283</v>
      </c>
      <c r="P42" s="69">
        <f>[5]Inventory!$B$12</f>
        <v>2.6822425839040283</v>
      </c>
      <c r="Q42" s="42"/>
      <c r="R42" s="4"/>
    </row>
    <row r="43" spans="1:20" ht="25.15" customHeight="1" x14ac:dyDescent="0.3">
      <c r="A43" s="1"/>
      <c r="B43" s="32">
        <v>26</v>
      </c>
      <c r="C43" s="1" t="s">
        <v>31</v>
      </c>
      <c r="D43" s="72"/>
      <c r="E43" s="72">
        <f t="shared" ref="E43:P43" si="9">E37-(E39+E41)</f>
        <v>-29.242000000000189</v>
      </c>
      <c r="F43" s="72">
        <f t="shared" si="9"/>
        <v>-37.388999999999214</v>
      </c>
      <c r="G43" s="72">
        <f t="shared" si="9"/>
        <v>-48.259000000000015</v>
      </c>
      <c r="H43" s="72">
        <f t="shared" si="9"/>
        <v>-47.266000000001441</v>
      </c>
      <c r="I43" s="72">
        <f t="shared" si="9"/>
        <v>-59.570999999999913</v>
      </c>
      <c r="J43" s="72">
        <f t="shared" si="9"/>
        <v>-52.052999999999884</v>
      </c>
      <c r="K43" s="72">
        <f t="shared" si="9"/>
        <v>400.85820911464134</v>
      </c>
      <c r="L43" s="72">
        <f t="shared" si="9"/>
        <v>538.76254353053696</v>
      </c>
      <c r="M43" s="72">
        <f t="shared" si="9"/>
        <v>1084.3258340323921</v>
      </c>
      <c r="N43" s="72">
        <f t="shared" si="9"/>
        <v>971.84706841041395</v>
      </c>
      <c r="O43" s="72">
        <f t="shared" si="9"/>
        <v>855.8092712685243</v>
      </c>
      <c r="P43" s="72">
        <f t="shared" si="9"/>
        <v>267.78375620702082</v>
      </c>
      <c r="Q43" s="74">
        <f>SUM(E43:P43)</f>
        <v>3845.6066825635289</v>
      </c>
      <c r="R43" s="4"/>
      <c r="T43" s="71"/>
    </row>
    <row r="44" spans="1:20" ht="9" customHeight="1" thickBot="1" x14ac:dyDescent="0.35">
      <c r="A44" s="1"/>
      <c r="B44" s="61"/>
      <c r="C44" s="52"/>
      <c r="D44" s="52"/>
      <c r="E44" s="52"/>
      <c r="F44" s="52"/>
      <c r="G44" s="52"/>
      <c r="H44" s="52"/>
      <c r="I44" s="52"/>
      <c r="J44" s="52"/>
      <c r="K44" s="52"/>
      <c r="L44" s="52"/>
      <c r="M44" s="52"/>
      <c r="N44" s="52"/>
      <c r="O44" s="52"/>
      <c r="P44" s="52"/>
      <c r="Q44" s="233"/>
      <c r="R44" s="4"/>
    </row>
    <row r="45" spans="1:20" x14ac:dyDescent="0.3">
      <c r="A45" s="1"/>
      <c r="B45" s="234" t="s">
        <v>32</v>
      </c>
      <c r="C45" s="1"/>
      <c r="D45" s="1"/>
      <c r="E45" s="1"/>
      <c r="F45" s="1"/>
      <c r="G45" s="1"/>
      <c r="H45" s="1"/>
      <c r="I45" s="1"/>
      <c r="J45" s="1"/>
      <c r="K45" s="1"/>
      <c r="L45" s="1"/>
      <c r="M45" s="1"/>
      <c r="N45" s="1"/>
      <c r="O45" s="1"/>
      <c r="P45" s="1"/>
      <c r="Q45" s="1"/>
      <c r="R45" s="4"/>
    </row>
    <row r="46" spans="1:20" x14ac:dyDescent="0.3">
      <c r="D46" s="71"/>
    </row>
  </sheetData>
  <mergeCells count="5">
    <mergeCell ref="B3:Q3"/>
    <mergeCell ref="B4:Q4"/>
    <mergeCell ref="B5:Q5"/>
    <mergeCell ref="B6:Q6"/>
    <mergeCell ref="B33:Q33"/>
  </mergeCells>
  <pageMargins left="0.7" right="0.7" top="0.75" bottom="0.75" header="0.3" footer="0.3"/>
  <pageSetup scale="5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5"/>
  <sheetViews>
    <sheetView zoomScaleNormal="100" workbookViewId="0">
      <selection activeCell="Q20" sqref="Q20"/>
    </sheetView>
  </sheetViews>
  <sheetFormatPr defaultColWidth="8" defaultRowHeight="12.75" x14ac:dyDescent="0.25"/>
  <cols>
    <col min="1" max="1" width="8" style="235"/>
    <col min="2" max="2" width="6.42578125" style="235" customWidth="1"/>
    <col min="3" max="3" width="45.42578125" style="235" customWidth="1"/>
    <col min="4" max="15" width="11" style="235" customWidth="1"/>
    <col min="16" max="16" width="11" style="237" customWidth="1"/>
    <col min="17" max="17" width="9.42578125" style="237" customWidth="1"/>
    <col min="18" max="18" width="3.42578125" style="235" customWidth="1"/>
    <col min="19" max="16384" width="8" style="235"/>
  </cols>
  <sheetData>
    <row r="1" spans="2:17" ht="25.5" customHeight="1" x14ac:dyDescent="0.5">
      <c r="C1" s="236"/>
      <c r="Q1" s="238" t="s">
        <v>136</v>
      </c>
    </row>
    <row r="2" spans="2:17" ht="27" x14ac:dyDescent="0.5">
      <c r="C2" s="239" t="s">
        <v>1</v>
      </c>
      <c r="D2" s="239"/>
      <c r="E2" s="239"/>
      <c r="F2" s="239"/>
      <c r="G2" s="239"/>
      <c r="H2" s="239"/>
      <c r="I2" s="239"/>
      <c r="J2" s="239"/>
      <c r="K2" s="239"/>
      <c r="L2" s="239"/>
      <c r="M2" s="239"/>
      <c r="N2" s="239"/>
      <c r="O2" s="239"/>
    </row>
    <row r="3" spans="2:17" ht="21" x14ac:dyDescent="0.4">
      <c r="C3" s="203" t="s">
        <v>137</v>
      </c>
      <c r="D3" s="203"/>
      <c r="E3" s="203"/>
      <c r="F3" s="203"/>
      <c r="G3" s="203"/>
      <c r="H3" s="203"/>
      <c r="I3" s="203"/>
      <c r="J3" s="203"/>
      <c r="K3" s="203"/>
      <c r="L3" s="203"/>
      <c r="M3" s="203"/>
      <c r="N3" s="203"/>
      <c r="O3" s="203"/>
    </row>
    <row r="4" spans="2:17" ht="18" customHeight="1" x14ac:dyDescent="0.4">
      <c r="B4" s="203" t="s">
        <v>138</v>
      </c>
      <c r="C4" s="203"/>
      <c r="D4" s="203"/>
      <c r="E4" s="203"/>
      <c r="F4" s="203"/>
      <c r="G4" s="203"/>
      <c r="H4" s="203"/>
      <c r="I4" s="203"/>
      <c r="J4" s="203"/>
      <c r="K4" s="203"/>
      <c r="L4" s="203"/>
      <c r="M4" s="203"/>
      <c r="N4" s="203"/>
      <c r="O4" s="203"/>
      <c r="P4" s="240"/>
      <c r="Q4" s="240"/>
    </row>
    <row r="5" spans="2:17" ht="21" x14ac:dyDescent="0.4">
      <c r="C5" s="240"/>
      <c r="D5" s="240"/>
      <c r="E5" s="240"/>
      <c r="F5" s="240"/>
      <c r="G5" s="240"/>
      <c r="H5" s="240"/>
      <c r="I5" s="240"/>
      <c r="J5" s="240"/>
      <c r="K5" s="240"/>
      <c r="L5" s="240"/>
      <c r="M5" s="240"/>
      <c r="N5" s="240"/>
      <c r="O5" s="237"/>
      <c r="Q5" s="241"/>
    </row>
    <row r="6" spans="2:17" ht="15.75" thickBot="1" x14ac:dyDescent="0.35">
      <c r="C6" s="242"/>
      <c r="D6" s="243">
        <v>1</v>
      </c>
      <c r="E6" s="243">
        <v>2</v>
      </c>
      <c r="F6" s="243">
        <v>3</v>
      </c>
      <c r="G6" s="243">
        <v>4</v>
      </c>
      <c r="H6" s="243">
        <v>5</v>
      </c>
      <c r="I6" s="243">
        <v>6</v>
      </c>
      <c r="J6" s="243">
        <v>7</v>
      </c>
      <c r="K6" s="243">
        <v>8</v>
      </c>
      <c r="L6" s="243">
        <v>9</v>
      </c>
      <c r="M6" s="243">
        <v>10</v>
      </c>
      <c r="N6" s="243">
        <v>11</v>
      </c>
      <c r="O6" s="243">
        <v>12</v>
      </c>
    </row>
    <row r="7" spans="2:17" ht="21" customHeight="1" x14ac:dyDescent="0.3">
      <c r="B7" s="244"/>
      <c r="C7" s="245"/>
      <c r="D7" s="246">
        <f>'[5] Schedule 1.0 Forecast COGS -A '!D9</f>
        <v>44136</v>
      </c>
      <c r="E7" s="246">
        <f>'[5] Schedule 1.0 Forecast COGS -A '!E9</f>
        <v>44166</v>
      </c>
      <c r="F7" s="246">
        <f>'[5] Schedule 1.0 Forecast COGS -A '!F9</f>
        <v>44197</v>
      </c>
      <c r="G7" s="246">
        <f>'[5] Schedule 1.0 Forecast COGS -A '!G9</f>
        <v>44228</v>
      </c>
      <c r="H7" s="246">
        <f>'[5] Schedule 1.0 Forecast COGS -A '!H9</f>
        <v>44256</v>
      </c>
      <c r="I7" s="246">
        <f>'[5] Schedule 1.0 Forecast COGS -A '!I9</f>
        <v>44287</v>
      </c>
      <c r="J7" s="246">
        <f>'[5] Schedule 1.0 Forecast COGS -A '!J9</f>
        <v>44317</v>
      </c>
      <c r="K7" s="246">
        <f>'[5] Schedule 1.0 Forecast COGS -A '!K9</f>
        <v>44348</v>
      </c>
      <c r="L7" s="246">
        <f>'[5] Schedule 1.0 Forecast COGS -A '!L9</f>
        <v>44378</v>
      </c>
      <c r="M7" s="246">
        <f>'[5] Schedule 1.0 Forecast COGS -A '!M9</f>
        <v>44409</v>
      </c>
      <c r="N7" s="246">
        <f>'[5] Schedule 1.0 Forecast COGS -A '!N9</f>
        <v>44440</v>
      </c>
      <c r="O7" s="247">
        <f>'[5] Schedule 1.0 Forecast COGS -A '!O9</f>
        <v>44470</v>
      </c>
      <c r="P7" s="248"/>
      <c r="Q7" s="248"/>
    </row>
    <row r="8" spans="2:17" ht="15" x14ac:dyDescent="0.3">
      <c r="B8" s="249"/>
      <c r="C8" s="250"/>
      <c r="D8" s="251"/>
      <c r="E8" s="251"/>
      <c r="F8" s="251"/>
      <c r="G8" s="251"/>
      <c r="H8" s="251"/>
      <c r="I8" s="251"/>
      <c r="J8" s="251"/>
      <c r="K8" s="251"/>
      <c r="L8" s="251"/>
      <c r="M8" s="251"/>
      <c r="N8" s="251" t="s">
        <v>124</v>
      </c>
      <c r="O8" s="252" t="s">
        <v>124</v>
      </c>
    </row>
    <row r="9" spans="2:17" ht="15" x14ac:dyDescent="0.3">
      <c r="B9" s="253" t="s">
        <v>5</v>
      </c>
      <c r="C9" s="254" t="s">
        <v>65</v>
      </c>
      <c r="D9" s="250"/>
      <c r="E9" s="250"/>
      <c r="F9" s="250"/>
      <c r="G9" s="250"/>
      <c r="H9" s="250"/>
      <c r="I9" s="250"/>
      <c r="J9" s="250"/>
      <c r="K9" s="250"/>
      <c r="L9" s="250"/>
      <c r="M9" s="250"/>
      <c r="N9" s="250"/>
      <c r="O9" s="255"/>
    </row>
    <row r="10" spans="2:17" ht="15" x14ac:dyDescent="0.3">
      <c r="B10" s="253"/>
      <c r="C10" s="250"/>
      <c r="D10" s="250"/>
      <c r="E10" s="250"/>
      <c r="F10" s="250"/>
      <c r="G10" s="250"/>
      <c r="H10" s="250"/>
      <c r="I10" s="250"/>
      <c r="J10" s="250"/>
      <c r="K10" s="250"/>
      <c r="L10" s="250"/>
      <c r="M10" s="250"/>
      <c r="N10" s="250"/>
      <c r="O10" s="255"/>
    </row>
    <row r="11" spans="2:17" ht="15" x14ac:dyDescent="0.3">
      <c r="B11" s="253">
        <v>1</v>
      </c>
      <c r="C11" s="250" t="s">
        <v>66</v>
      </c>
      <c r="D11" s="256">
        <f>[5]Inventory!E35/1000</f>
        <v>18377.588302</v>
      </c>
      <c r="E11" s="256">
        <f>[5]Inventory!F35/1000</f>
        <v>18113.767302</v>
      </c>
      <c r="F11" s="256">
        <f>[5]Inventory!G35/1000</f>
        <v>14836.094302000001</v>
      </c>
      <c r="G11" s="256">
        <f>[5]Inventory!H35/1000</f>
        <v>10350.333302000001</v>
      </c>
      <c r="H11" s="256">
        <f>[5]Inventory!I35/1000</f>
        <v>5504.8663020000013</v>
      </c>
      <c r="I11" s="256">
        <f>[5]Inventory!J35/1000</f>
        <v>3470.753302000001</v>
      </c>
      <c r="J11" s="256">
        <f>[5]Inventory!K35/1000</f>
        <v>3077.2283020000009</v>
      </c>
      <c r="K11" s="256">
        <f>[5]Inventory!L35/1000</f>
        <v>5228.396302000001</v>
      </c>
      <c r="L11" s="256">
        <f>[5]Inventory!M35/1000</f>
        <v>7483.6793020000014</v>
      </c>
      <c r="M11" s="256">
        <f>[5]Inventory!N35/1000</f>
        <v>10854.079302000002</v>
      </c>
      <c r="N11" s="256">
        <f>[5]Inventory!O35/1000</f>
        <v>14027.349302000001</v>
      </c>
      <c r="O11" s="257">
        <f>[5]Inventory!P35/1000</f>
        <v>16890.832302000003</v>
      </c>
    </row>
    <row r="12" spans="2:17" ht="15" x14ac:dyDescent="0.3">
      <c r="B12" s="253">
        <v>2</v>
      </c>
      <c r="C12" s="250" t="s">
        <v>67</v>
      </c>
      <c r="D12" s="256">
        <f>[5]Inventory!E39/1000</f>
        <v>18113.767302</v>
      </c>
      <c r="E12" s="256">
        <f>[5]Inventory!F39/1000</f>
        <v>14836.094302000001</v>
      </c>
      <c r="F12" s="256">
        <f>[5]Inventory!G39/1000</f>
        <v>10350.333302000001</v>
      </c>
      <c r="G12" s="256">
        <f>[5]Inventory!H39/1000</f>
        <v>5504.8663020000013</v>
      </c>
      <c r="H12" s="256">
        <f>[5]Inventory!I39/1000</f>
        <v>3470.753302000001</v>
      </c>
      <c r="I12" s="256">
        <f>[5]Inventory!J39/1000</f>
        <v>3077.2283020000009</v>
      </c>
      <c r="J12" s="256">
        <f>[5]Inventory!K39/1000</f>
        <v>5228.396302000001</v>
      </c>
      <c r="K12" s="256">
        <f>[5]Inventory!L39/1000</f>
        <v>7483.6793020000014</v>
      </c>
      <c r="L12" s="256">
        <f>[5]Inventory!M39/1000</f>
        <v>10854.079302000002</v>
      </c>
      <c r="M12" s="256">
        <f>[5]Inventory!N39/1000</f>
        <v>14027.349302000001</v>
      </c>
      <c r="N12" s="256">
        <f>[5]Inventory!O39/1000</f>
        <v>16890.832302000003</v>
      </c>
      <c r="O12" s="257">
        <f>[5]Inventory!P39/1000</f>
        <v>17762.894302000001</v>
      </c>
    </row>
    <row r="13" spans="2:17" ht="15" x14ac:dyDescent="0.3">
      <c r="B13" s="253"/>
      <c r="C13" s="250"/>
      <c r="D13" s="250"/>
      <c r="E13" s="250"/>
      <c r="F13" s="250"/>
      <c r="G13" s="250"/>
      <c r="H13" s="250"/>
      <c r="I13" s="250"/>
      <c r="J13" s="250"/>
      <c r="K13" s="250"/>
      <c r="L13" s="250"/>
      <c r="M13" s="250"/>
      <c r="N13" s="250"/>
      <c r="O13" s="255"/>
    </row>
    <row r="14" spans="2:17" ht="15" x14ac:dyDescent="0.3">
      <c r="B14" s="253">
        <v>3</v>
      </c>
      <c r="C14" s="250" t="s">
        <v>68</v>
      </c>
      <c r="D14" s="256">
        <f>[5]Inventory!E37/1000</f>
        <v>263.82100000000003</v>
      </c>
      <c r="E14" s="256">
        <f>[5]Inventory!F37/1000</f>
        <v>3277.6729999999998</v>
      </c>
      <c r="F14" s="256">
        <f>[5]Inventory!G37/1000</f>
        <v>4485.7610000000004</v>
      </c>
      <c r="G14" s="256">
        <f>[5]Inventory!H37/1000</f>
        <v>4845.4669999999996</v>
      </c>
      <c r="H14" s="256">
        <f>[5]Inventory!I37/1000</f>
        <v>2034.1130000000001</v>
      </c>
      <c r="I14" s="256">
        <f>[5]Inventory!J37/1000</f>
        <v>393.52499999999998</v>
      </c>
      <c r="J14" s="256">
        <f>[5]Inventory!K37/1000</f>
        <v>-2151.1680000000001</v>
      </c>
      <c r="K14" s="256">
        <f>[5]Inventory!L37/1000</f>
        <v>-2255.2829999999999</v>
      </c>
      <c r="L14" s="256">
        <f>[5]Inventory!M37/1000</f>
        <v>-3370.4</v>
      </c>
      <c r="M14" s="256">
        <f>[5]Inventory!N37/1000</f>
        <v>-3173.27</v>
      </c>
      <c r="N14" s="256">
        <f>[5]Inventory!O37/1000</f>
        <v>-2863.4830000000002</v>
      </c>
      <c r="O14" s="257">
        <f>[5]Inventory!P37/1000</f>
        <v>-872.06200000000001</v>
      </c>
      <c r="P14" s="258"/>
      <c r="Q14" s="258"/>
    </row>
    <row r="15" spans="2:17" ht="15" x14ac:dyDescent="0.3">
      <c r="B15" s="253">
        <v>4</v>
      </c>
      <c r="C15" s="250" t="s">
        <v>69</v>
      </c>
      <c r="D15" s="259">
        <f>[5]Inventory!$B$12</f>
        <v>2.6822425839040283</v>
      </c>
      <c r="E15" s="259">
        <f>[5]Inventory!$B$12</f>
        <v>2.6822425839040283</v>
      </c>
      <c r="F15" s="259">
        <f>[5]Inventory!$B$12</f>
        <v>2.6822425839040283</v>
      </c>
      <c r="G15" s="259">
        <f>[5]Inventory!$B$12</f>
        <v>2.6822425839040283</v>
      </c>
      <c r="H15" s="259">
        <f>[5]Inventory!$B$12</f>
        <v>2.6822425839040283</v>
      </c>
      <c r="I15" s="259">
        <f>[5]Inventory!J19</f>
        <v>3.1862444914801724</v>
      </c>
      <c r="J15" s="259">
        <f>[5]Inventory!K19</f>
        <v>3.2169898726385822</v>
      </c>
      <c r="K15" s="259">
        <f>[5]Inventory!L19</f>
        <v>3.3476437345394672</v>
      </c>
      <c r="L15" s="259">
        <f>[5]Inventory!M19</f>
        <v>3.5493531294407639</v>
      </c>
      <c r="M15" s="259">
        <f>[5]Inventory!N19</f>
        <v>3.5128598697420483</v>
      </c>
      <c r="N15" s="259">
        <f>[5]Inventory!O19</f>
        <v>3.5133982675347522</v>
      </c>
      <c r="O15" s="260">
        <f>[5]Inventory!P19</f>
        <v>3.6102133326666594</v>
      </c>
      <c r="P15" s="258"/>
      <c r="Q15" s="258"/>
    </row>
    <row r="16" spans="2:17" ht="15" x14ac:dyDescent="0.3">
      <c r="B16" s="253">
        <v>5</v>
      </c>
      <c r="C16" s="254" t="s">
        <v>70</v>
      </c>
      <c r="D16" s="261">
        <f>[5]Inventory!E32</f>
        <v>2.6822425839040283</v>
      </c>
      <c r="E16" s="261">
        <f>[5]Inventory!F32</f>
        <v>2.6822425839040278</v>
      </c>
      <c r="F16" s="261">
        <f>[5]Inventory!G32</f>
        <v>2.6822425839040278</v>
      </c>
      <c r="G16" s="261">
        <f>[5]Inventory!H32</f>
        <v>2.6822425839040274</v>
      </c>
      <c r="H16" s="261">
        <f>[5]Inventory!I32</f>
        <v>2.6822425839040265</v>
      </c>
      <c r="I16" s="261">
        <f>[5]Inventory!J32</f>
        <v>2.6822425839040265</v>
      </c>
      <c r="J16" s="261">
        <f>[5]Inventory!K32</f>
        <v>2.9022586632460809</v>
      </c>
      <c r="K16" s="261">
        <f>[5]Inventory!L32</f>
        <v>3.0364799919811749</v>
      </c>
      <c r="L16" s="261">
        <f>[5]Inventory!M32</f>
        <v>3.1957369473062838</v>
      </c>
      <c r="M16" s="261">
        <f>[5]Inventory!N32</f>
        <v>3.2674765635668028</v>
      </c>
      <c r="N16" s="261">
        <f>[5]Inventory!O32</f>
        <v>3.3091673817605205</v>
      </c>
      <c r="O16" s="262">
        <f>[5]Inventory!P32</f>
        <v>3.3239471090716015</v>
      </c>
      <c r="P16" s="258"/>
      <c r="Q16" s="258"/>
    </row>
    <row r="17" spans="2:17" ht="15" x14ac:dyDescent="0.3">
      <c r="B17" s="253"/>
      <c r="C17" s="250"/>
      <c r="D17" s="250"/>
      <c r="E17" s="250"/>
      <c r="F17" s="250"/>
      <c r="G17" s="250"/>
      <c r="H17" s="250"/>
      <c r="I17" s="250"/>
      <c r="J17" s="250"/>
      <c r="K17" s="250"/>
      <c r="L17" s="250"/>
      <c r="M17" s="250"/>
      <c r="N17" s="250"/>
      <c r="O17" s="255"/>
    </row>
    <row r="18" spans="2:17" ht="15" x14ac:dyDescent="0.3">
      <c r="B18" s="253"/>
      <c r="C18" s="254" t="s">
        <v>71</v>
      </c>
      <c r="D18" s="250"/>
      <c r="E18" s="250"/>
      <c r="F18" s="250"/>
      <c r="G18" s="250"/>
      <c r="H18" s="250"/>
      <c r="I18" s="250"/>
      <c r="J18" s="250"/>
      <c r="K18" s="250"/>
      <c r="L18" s="250"/>
      <c r="M18" s="250"/>
      <c r="N18" s="250"/>
      <c r="O18" s="255"/>
    </row>
    <row r="19" spans="2:17" ht="15" x14ac:dyDescent="0.3">
      <c r="B19" s="253">
        <v>6</v>
      </c>
      <c r="C19" s="250" t="s">
        <v>72</v>
      </c>
      <c r="D19" s="263">
        <f>[5]Inventory!E23/1000</f>
        <v>49293.149933080924</v>
      </c>
      <c r="E19" s="263">
        <f>[5]Inventory!F23/1000</f>
        <v>48585.518012352783</v>
      </c>
      <c r="F19" s="263">
        <f>[5]Inventory!G23/1000</f>
        <v>39794.003915640307</v>
      </c>
      <c r="G19" s="263">
        <f>[5]Inventory!H23/1000</f>
        <v>27762.104740224393</v>
      </c>
      <c r="H19" s="263">
        <f>[5]Inventory!I23/1000</f>
        <v>14765.386813922691</v>
      </c>
      <c r="I19" s="263">
        <f>[5]Inventory!J23/1000</f>
        <v>9309.4023048499148</v>
      </c>
      <c r="J19" s="263">
        <f>[5]Inventory!K23/1000</f>
        <v>8253.8727920190831</v>
      </c>
      <c r="K19" s="263">
        <f>[5]Inventory!L23/1000</f>
        <v>15174.158462363277</v>
      </c>
      <c r="L19" s="263">
        <f>[5]Inventory!M23/1000</f>
        <v>22724.04246692665</v>
      </c>
      <c r="M19" s="263">
        <f>[5]Inventory!N23/1000</f>
        <v>34686.782254393802</v>
      </c>
      <c r="N19" s="263">
        <f>[5]Inventory!O23/1000</f>
        <v>45834.035093250153</v>
      </c>
      <c r="O19" s="264">
        <f>[5]Inventory!P23/1000</f>
        <v>55894.591304565372</v>
      </c>
    </row>
    <row r="20" spans="2:17" ht="15" x14ac:dyDescent="0.3">
      <c r="B20" s="253">
        <v>7</v>
      </c>
      <c r="C20" s="250" t="s">
        <v>73</v>
      </c>
      <c r="D20" s="263">
        <f>[5]Inventory!E30/1000</f>
        <v>48585.518012352783</v>
      </c>
      <c r="E20" s="263">
        <f>[5]Inventory!F30/1000</f>
        <v>39794.003915640307</v>
      </c>
      <c r="F20" s="263">
        <f>[5]Inventory!G30/1000</f>
        <v>27762.104740224393</v>
      </c>
      <c r="G20" s="263">
        <f>[5]Inventory!H30/1000</f>
        <v>14765.386813922691</v>
      </c>
      <c r="H20" s="263">
        <f>[5]Inventory!I30/1000</f>
        <v>9309.4023048499148</v>
      </c>
      <c r="I20" s="263">
        <f>[5]Inventory!J30/1000</f>
        <v>8253.8727920190831</v>
      </c>
      <c r="J20" s="263">
        <f>[5]Inventory!K30/1000</f>
        <v>15174.158462363277</v>
      </c>
      <c r="K20" s="263">
        <f>[5]Inventory!L30/1000</f>
        <v>22724.04246692665</v>
      </c>
      <c r="L20" s="263">
        <f>[5]Inventory!M30/1000</f>
        <v>34686.782254393802</v>
      </c>
      <c r="M20" s="263">
        <f>[5]Inventory!N30/1000</f>
        <v>45834.035093250153</v>
      </c>
      <c r="N20" s="263">
        <f>[5]Inventory!O30/1000</f>
        <v>55894.591304565372</v>
      </c>
      <c r="O20" s="264">
        <f>[5]Inventory!P30/1000</f>
        <v>59042.921163877327</v>
      </c>
    </row>
    <row r="21" spans="2:17" ht="15" x14ac:dyDescent="0.3">
      <c r="B21" s="253"/>
      <c r="C21" s="250"/>
      <c r="D21" s="250"/>
      <c r="E21" s="250"/>
      <c r="F21" s="250"/>
      <c r="G21" s="250"/>
      <c r="H21" s="250"/>
      <c r="I21" s="250"/>
      <c r="J21" s="250"/>
      <c r="K21" s="250"/>
      <c r="L21" s="250"/>
      <c r="M21" s="250"/>
      <c r="N21" s="250"/>
      <c r="O21" s="255"/>
    </row>
    <row r="22" spans="2:17" ht="15" x14ac:dyDescent="0.3">
      <c r="B22" s="253">
        <v>8</v>
      </c>
      <c r="C22" s="254" t="s">
        <v>74</v>
      </c>
      <c r="D22" s="263">
        <f>[5]Inventory!E25/1000</f>
        <v>707.63192072814456</v>
      </c>
      <c r="E22" s="263">
        <f>[5]Inventory!F25/1000</f>
        <v>8791.514096712468</v>
      </c>
      <c r="F22" s="263">
        <f>[5]Inventory!G25/1000</f>
        <v>12031.899175415918</v>
      </c>
      <c r="G22" s="263">
        <f>[5]Inventory!H25/1000</f>
        <v>12996.717926301701</v>
      </c>
      <c r="H22" s="263">
        <f>[5]Inventory!I25/1000</f>
        <v>5455.9845090727749</v>
      </c>
      <c r="I22" s="263">
        <f>[5]Inventory!J25/1000</f>
        <v>1055.5295128308328</v>
      </c>
      <c r="J22" s="263">
        <f>[5]Inventory!K25/1000</f>
        <v>-6920.285670344193</v>
      </c>
      <c r="K22" s="263">
        <f>[5]Inventory!L25/1000</f>
        <v>-7549.8840045633733</v>
      </c>
      <c r="L22" s="263">
        <f>[5]Inventory!M25/1000</f>
        <v>-11962.73978746715</v>
      </c>
      <c r="M22" s="263">
        <f>[5]Inventory!N25/1000</f>
        <v>-11147.252838856351</v>
      </c>
      <c r="N22" s="263">
        <f>[5]Inventory!O25/1000</f>
        <v>-10060.556211315215</v>
      </c>
      <c r="O22" s="264">
        <f>[5]Inventory!P25/1000</f>
        <v>-3148.3298593119521</v>
      </c>
      <c r="P22" s="265"/>
      <c r="Q22" s="265"/>
    </row>
    <row r="23" spans="2:17" ht="15" x14ac:dyDescent="0.3">
      <c r="B23" s="253"/>
      <c r="C23" s="250"/>
      <c r="D23" s="250"/>
      <c r="E23" s="250"/>
      <c r="F23" s="250"/>
      <c r="G23" s="250"/>
      <c r="H23" s="250"/>
      <c r="I23" s="250"/>
      <c r="J23" s="250"/>
      <c r="K23" s="250"/>
      <c r="L23" s="250"/>
      <c r="M23" s="250"/>
      <c r="N23" s="250"/>
      <c r="O23" s="255"/>
    </row>
    <row r="24" spans="2:17" ht="15" x14ac:dyDescent="0.3">
      <c r="B24" s="249"/>
      <c r="C24" s="266"/>
      <c r="D24" s="250"/>
      <c r="E24" s="250"/>
      <c r="F24" s="250"/>
      <c r="G24" s="250"/>
      <c r="H24" s="250"/>
      <c r="I24" s="250"/>
      <c r="J24" s="250"/>
      <c r="K24" s="250"/>
      <c r="L24" s="250"/>
      <c r="M24" s="250"/>
      <c r="N24" s="250"/>
      <c r="O24" s="255"/>
    </row>
    <row r="25" spans="2:17" ht="15.75" thickBot="1" x14ac:dyDescent="0.35">
      <c r="B25" s="267"/>
      <c r="C25" s="268"/>
      <c r="D25" s="269"/>
      <c r="E25" s="269"/>
      <c r="F25" s="269"/>
      <c r="G25" s="269"/>
      <c r="H25" s="269"/>
      <c r="I25" s="269"/>
      <c r="J25" s="269"/>
      <c r="K25" s="269"/>
      <c r="L25" s="269"/>
      <c r="M25" s="269"/>
      <c r="N25" s="269"/>
      <c r="O25" s="270"/>
    </row>
    <row r="26" spans="2:17" ht="15" x14ac:dyDescent="0.3">
      <c r="C26" s="271"/>
      <c r="D26" s="272"/>
      <c r="E26" s="272"/>
      <c r="F26" s="272"/>
      <c r="G26" s="272"/>
      <c r="H26" s="272"/>
      <c r="I26" s="272"/>
      <c r="J26" s="272"/>
      <c r="K26" s="272"/>
      <c r="L26" s="272"/>
      <c r="M26" s="272"/>
      <c r="N26" s="272"/>
      <c r="O26" s="272"/>
    </row>
    <row r="27" spans="2:17" ht="13.5" thickBot="1" x14ac:dyDescent="0.3">
      <c r="C27" s="273"/>
    </row>
    <row r="28" spans="2:17" x14ac:dyDescent="0.25">
      <c r="B28" s="274"/>
      <c r="C28" s="275"/>
      <c r="D28" s="276">
        <f>'[5]Inventory Carrying Cost'!C1</f>
        <v>43891</v>
      </c>
      <c r="E28" s="276">
        <f>'[5]Inventory Carrying Cost'!D1</f>
        <v>43922</v>
      </c>
      <c r="F28" s="276">
        <f>'[5]Inventory Carrying Cost'!E1</f>
        <v>43952</v>
      </c>
      <c r="G28" s="276">
        <f>'[5]Inventory Carrying Cost'!F1</f>
        <v>43983</v>
      </c>
      <c r="H28" s="276">
        <f>'[5]Inventory Carrying Cost'!G1</f>
        <v>44013</v>
      </c>
      <c r="I28" s="276">
        <f>'[5]Inventory Carrying Cost'!H1</f>
        <v>44044</v>
      </c>
      <c r="J28" s="276">
        <f>'[5]Inventory Carrying Cost'!I1</f>
        <v>44075</v>
      </c>
      <c r="K28" s="276">
        <f>'[5]Inventory Carrying Cost'!J1</f>
        <v>44105</v>
      </c>
      <c r="L28" s="276">
        <f>'[5]Inventory Carrying Cost'!K1</f>
        <v>44136</v>
      </c>
      <c r="M28" s="276">
        <f>'[5]Inventory Carrying Cost'!L1</f>
        <v>44166</v>
      </c>
      <c r="N28" s="276">
        <f>'[5]Inventory Carrying Cost'!M1</f>
        <v>44197</v>
      </c>
      <c r="O28" s="276">
        <f>'[5]Inventory Carrying Cost'!N1</f>
        <v>44228</v>
      </c>
      <c r="P28" s="276">
        <f>'[5]Inventory Carrying Cost'!O1</f>
        <v>44256</v>
      </c>
      <c r="Q28" s="277" t="s">
        <v>4</v>
      </c>
    </row>
    <row r="29" spans="2:17" ht="15" x14ac:dyDescent="0.3">
      <c r="B29" s="253" t="s">
        <v>5</v>
      </c>
      <c r="C29" s="254" t="s">
        <v>75</v>
      </c>
      <c r="D29" s="278"/>
      <c r="E29" s="278"/>
      <c r="F29" s="278"/>
      <c r="G29" s="278"/>
      <c r="H29" s="278"/>
      <c r="I29" s="278"/>
      <c r="J29" s="278"/>
      <c r="K29" s="278"/>
      <c r="L29" s="278"/>
      <c r="M29" s="278"/>
      <c r="N29" s="278"/>
      <c r="O29" s="278"/>
      <c r="P29" s="278"/>
      <c r="Q29" s="279"/>
    </row>
    <row r="30" spans="2:17" x14ac:dyDescent="0.25">
      <c r="B30" s="253"/>
      <c r="C30" s="280"/>
      <c r="D30" s="278"/>
      <c r="E30" s="278"/>
      <c r="F30" s="278"/>
      <c r="G30" s="278"/>
      <c r="H30" s="278"/>
      <c r="I30" s="278"/>
      <c r="J30" s="278"/>
      <c r="K30" s="278"/>
      <c r="L30" s="278"/>
      <c r="M30" s="278"/>
      <c r="N30" s="278"/>
      <c r="O30" s="278"/>
      <c r="P30" s="278"/>
      <c r="Q30" s="279"/>
    </row>
    <row r="31" spans="2:17" ht="10.5" customHeight="1" x14ac:dyDescent="0.25">
      <c r="B31" s="253"/>
      <c r="C31" s="280"/>
      <c r="D31" s="281" t="s">
        <v>76</v>
      </c>
      <c r="E31" s="281"/>
      <c r="F31" s="281"/>
      <c r="G31" s="281"/>
      <c r="H31" s="281"/>
      <c r="I31" s="281"/>
      <c r="J31" s="281"/>
      <c r="K31" s="281"/>
      <c r="L31" s="278"/>
      <c r="M31" s="278"/>
      <c r="N31" s="278"/>
      <c r="O31" s="278"/>
      <c r="P31" s="278"/>
      <c r="Q31" s="279"/>
    </row>
    <row r="32" spans="2:17" x14ac:dyDescent="0.25">
      <c r="B32" s="253"/>
      <c r="C32" s="280"/>
      <c r="D32" s="282"/>
      <c r="E32" s="282"/>
      <c r="F32" s="282"/>
      <c r="G32" s="282"/>
      <c r="H32" s="282"/>
      <c r="I32" s="282"/>
      <c r="J32" s="282"/>
      <c r="K32" s="282"/>
      <c r="L32" s="283"/>
      <c r="M32" s="283"/>
      <c r="N32" s="283"/>
      <c r="O32" s="283"/>
      <c r="P32" s="283"/>
      <c r="Q32" s="279"/>
    </row>
    <row r="33" spans="2:17" x14ac:dyDescent="0.25">
      <c r="B33" s="253"/>
      <c r="C33" s="280"/>
      <c r="D33" s="237"/>
      <c r="E33" s="237"/>
      <c r="F33" s="237"/>
      <c r="G33" s="237"/>
      <c r="H33" s="237"/>
      <c r="I33" s="237"/>
      <c r="J33" s="237"/>
      <c r="K33" s="237"/>
      <c r="L33" s="283"/>
      <c r="M33" s="283"/>
      <c r="N33" s="283"/>
      <c r="O33" s="283"/>
      <c r="P33" s="283"/>
      <c r="Q33" s="279"/>
    </row>
    <row r="34" spans="2:17" x14ac:dyDescent="0.25">
      <c r="B34" s="253">
        <v>9</v>
      </c>
      <c r="C34" s="237" t="s">
        <v>77</v>
      </c>
      <c r="D34" s="284">
        <f>'[5]Inventory Carrying Cost'!C7/1000</f>
        <v>12455.741456572954</v>
      </c>
      <c r="E34" s="284">
        <f>'[5]Inventory Carrying Cost'!D7/1000</f>
        <v>11583.266426280861</v>
      </c>
      <c r="F34" s="284">
        <f>'[5]Inventory Carrying Cost'!E7/1000</f>
        <v>16994.929028642571</v>
      </c>
      <c r="G34" s="284">
        <f>'[5]Inventory Carrying Cost'!F7/1000</f>
        <v>17559.239517200534</v>
      </c>
      <c r="H34" s="284">
        <f>'[5]Inventory Carrying Cost'!G7/1000</f>
        <v>26287.239491068965</v>
      </c>
      <c r="I34" s="284">
        <f>'[5]Inventory Carrying Cost'!H7/1000</f>
        <v>37531.347985562817</v>
      </c>
      <c r="J34" s="284">
        <f>'[5]Inventory Carrying Cost'!I7/1000</f>
        <v>46771.880426465825</v>
      </c>
      <c r="K34" s="284">
        <f>'[5]Inventory Carrying Cost'!J7/1000</f>
        <v>49293.149933080924</v>
      </c>
      <c r="L34" s="284">
        <f>'[5]Inventory Carrying Cost'!K7/1000</f>
        <v>48585.518012352783</v>
      </c>
      <c r="M34" s="284">
        <f>'[5]Inventory Carrying Cost'!L7/1000</f>
        <v>39794.003915640307</v>
      </c>
      <c r="N34" s="284">
        <f>'[5]Inventory Carrying Cost'!M7/1000</f>
        <v>27762.104740224393</v>
      </c>
      <c r="O34" s="284">
        <f>'[5]Inventory Carrying Cost'!N7/1000</f>
        <v>14765.386813922691</v>
      </c>
      <c r="P34" s="284">
        <f>'[5]Inventory Carrying Cost'!O7/1000</f>
        <v>9309.4023048499148</v>
      </c>
      <c r="Q34" s="279"/>
    </row>
    <row r="35" spans="2:17" x14ac:dyDescent="0.25">
      <c r="B35" s="253">
        <v>10</v>
      </c>
      <c r="C35" s="237" t="s">
        <v>78</v>
      </c>
      <c r="D35" s="237"/>
      <c r="E35" s="284">
        <f>'[5]Inventory Carrying Cost'!D9/1000</f>
        <v>12019.503941426907</v>
      </c>
      <c r="F35" s="284">
        <f>'[5]Inventory Carrying Cost'!E9/1000</f>
        <v>14289.097727461718</v>
      </c>
      <c r="G35" s="284">
        <f>'[5]Inventory Carrying Cost'!F9/1000</f>
        <v>17277.084272921555</v>
      </c>
      <c r="H35" s="284">
        <f>'[5]Inventory Carrying Cost'!G9/1000</f>
        <v>21923.239504134752</v>
      </c>
      <c r="I35" s="284">
        <f>'[5]Inventory Carrying Cost'!H9/1000</f>
        <v>31909.293738315893</v>
      </c>
      <c r="J35" s="284">
        <f>'[5]Inventory Carrying Cost'!I9/1000</f>
        <v>42151.614206014317</v>
      </c>
      <c r="K35" s="284">
        <f>'[5]Inventory Carrying Cost'!J9/1000</f>
        <v>48032.515179773378</v>
      </c>
      <c r="L35" s="284">
        <f>'[5]Inventory Carrying Cost'!K9/1000</f>
        <v>48939.33397271685</v>
      </c>
      <c r="M35" s="284">
        <f>'[5]Inventory Carrying Cost'!L9/1000</f>
        <v>44189.760963996545</v>
      </c>
      <c r="N35" s="284">
        <f>'[5]Inventory Carrying Cost'!M9/1000</f>
        <v>33778.054327932354</v>
      </c>
      <c r="O35" s="284">
        <f>'[5]Inventory Carrying Cost'!N9/1000</f>
        <v>21263.745777073538</v>
      </c>
      <c r="P35" s="284">
        <f>'[5]Inventory Carrying Cost'!O9/1000</f>
        <v>12037.394559386301</v>
      </c>
      <c r="Q35" s="279"/>
    </row>
    <row r="36" spans="2:17" x14ac:dyDescent="0.25">
      <c r="B36" s="253"/>
      <c r="C36" s="280"/>
      <c r="D36" s="237"/>
      <c r="E36" s="284"/>
      <c r="F36" s="284"/>
      <c r="G36" s="284"/>
      <c r="H36" s="284"/>
      <c r="I36" s="284"/>
      <c r="J36" s="284"/>
      <c r="K36" s="284"/>
      <c r="L36" s="284"/>
      <c r="M36" s="284"/>
      <c r="N36" s="284"/>
      <c r="O36" s="284"/>
      <c r="P36" s="284"/>
      <c r="Q36" s="279"/>
    </row>
    <row r="37" spans="2:17" x14ac:dyDescent="0.25">
      <c r="B37" s="253">
        <v>11</v>
      </c>
      <c r="C37" s="237" t="s">
        <v>79</v>
      </c>
      <c r="D37" s="237"/>
      <c r="E37" s="285">
        <f>'[5]Inventory Carrying Cost'!D11</f>
        <v>7.0000000000000001E-3</v>
      </c>
      <c r="F37" s="285">
        <f>'[5]Inventory Carrying Cost'!E11</f>
        <v>2.5000000000000001E-3</v>
      </c>
      <c r="G37" s="285">
        <f>'[5]Inventory Carrying Cost'!F11</f>
        <v>1.6999999999999999E-3</v>
      </c>
      <c r="H37" s="285">
        <f>'[5]Inventory Carrying Cost'!G11</f>
        <v>1.9E-3</v>
      </c>
      <c r="I37" s="285">
        <f>'[5]Inventory Carrying Cost'!H11</f>
        <v>1.8E-3</v>
      </c>
      <c r="J37" s="285">
        <f>'[5]Inventory Carrying Cost'!I11</f>
        <v>1.5E-3</v>
      </c>
      <c r="K37" s="285">
        <f>'[5]Inventory Carrying Cost'!J11</f>
        <v>1.1999999999999999E-3</v>
      </c>
      <c r="L37" s="285">
        <f>'[5]Inventory Carrying Cost'!K11</f>
        <v>8.9999999999999998E-4</v>
      </c>
      <c r="M37" s="285">
        <f>'[5]Inventory Carrying Cost'!L11</f>
        <v>1.2999999999999999E-3</v>
      </c>
      <c r="N37" s="285">
        <f>'[5]Inventory Carrying Cost'!M11</f>
        <v>8.0000000000000004E-4</v>
      </c>
      <c r="O37" s="285">
        <f>'[5]Inventory Carrying Cost'!N11</f>
        <v>5.9999999999999995E-4</v>
      </c>
      <c r="P37" s="285">
        <f>'[5]Inventory Carrying Cost'!O11</f>
        <v>1.4499999999999999E-3</v>
      </c>
      <c r="Q37" s="279"/>
    </row>
    <row r="38" spans="2:17" x14ac:dyDescent="0.25">
      <c r="B38" s="253">
        <v>12</v>
      </c>
      <c r="C38" s="237" t="s">
        <v>80</v>
      </c>
      <c r="D38" s="237"/>
      <c r="E38" s="284">
        <f>'[5]Inventory Carrying Cost'!D13/1000</f>
        <v>6.9153310347935619</v>
      </c>
      <c r="F38" s="284">
        <f>'[5]Inventory Carrying Cost'!E13/1000</f>
        <v>3.0339865037761182</v>
      </c>
      <c r="G38" s="284">
        <f>'[5]Inventory Carrying Cost'!F13/1000</f>
        <v>2.4140583504630118</v>
      </c>
      <c r="H38" s="284">
        <f>'[5]Inventory Carrying Cost'!G13/1000</f>
        <v>3.5377501555987312</v>
      </c>
      <c r="I38" s="284">
        <f>'[5]Inventory Carrying Cost'!H13/1000</f>
        <v>4.8781879194466482</v>
      </c>
      <c r="J38" s="284">
        <f>'[5]Inventory Carrying Cost'!I13/1000</f>
        <v>5.1967743541661493</v>
      </c>
      <c r="K38" s="284">
        <f>'[5]Inventory Carrying Cost'!J13/1000</f>
        <v>4.8953686703769028</v>
      </c>
      <c r="L38" s="284">
        <f>'[5]Inventory Carrying Cost'!K13/1000</f>
        <v>3.6201699103105618</v>
      </c>
      <c r="M38" s="284">
        <f>'[5]Inventory Carrying Cost'!L13/1000</f>
        <v>4.8790338817782484</v>
      </c>
      <c r="N38" s="284">
        <f>'[5]Inventory Carrying Cost'!M13/1000</f>
        <v>2.2950568420074582</v>
      </c>
      <c r="O38" s="284">
        <f>'[5]Inventory Carrying Cost'!N13/1000</f>
        <v>0.97871487412283698</v>
      </c>
      <c r="P38" s="284">
        <f>'[5]Inventory Carrying Cost'!O13/1000</f>
        <v>1.4824133847792171</v>
      </c>
      <c r="Q38" s="279"/>
    </row>
    <row r="39" spans="2:17" x14ac:dyDescent="0.25">
      <c r="B39" s="253">
        <v>13</v>
      </c>
      <c r="C39" s="237" t="s">
        <v>81</v>
      </c>
      <c r="D39" s="237"/>
      <c r="E39" s="286"/>
      <c r="F39" s="286"/>
      <c r="G39" s="286"/>
      <c r="H39" s="286"/>
      <c r="I39" s="286"/>
      <c r="J39" s="286"/>
      <c r="K39" s="286"/>
      <c r="L39" s="286"/>
      <c r="M39" s="286"/>
      <c r="N39" s="286"/>
      <c r="O39" s="286"/>
      <c r="P39" s="286"/>
      <c r="Q39" s="287">
        <f>SUM(E38:P38)</f>
        <v>44.126845881619445</v>
      </c>
    </row>
    <row r="40" spans="2:17" ht="13.5" thickBot="1" x14ac:dyDescent="0.3">
      <c r="B40" s="288">
        <v>14</v>
      </c>
      <c r="C40" s="289" t="s">
        <v>82</v>
      </c>
      <c r="D40" s="289"/>
      <c r="E40" s="290"/>
      <c r="F40" s="290"/>
      <c r="G40" s="290"/>
      <c r="H40" s="290"/>
      <c r="I40" s="290"/>
      <c r="J40" s="290"/>
      <c r="K40" s="290"/>
      <c r="L40" s="290"/>
      <c r="M40" s="290"/>
      <c r="N40" s="290"/>
      <c r="O40" s="290"/>
      <c r="P40" s="290"/>
      <c r="Q40" s="291">
        <f>Q39/12</f>
        <v>3.6772371568016204</v>
      </c>
    </row>
    <row r="41" spans="2:17" x14ac:dyDescent="0.25">
      <c r="C41" s="273"/>
      <c r="D41" s="237"/>
      <c r="E41" s="237"/>
      <c r="F41" s="237"/>
      <c r="G41" s="237"/>
      <c r="H41" s="292"/>
      <c r="I41" s="237"/>
      <c r="J41" s="237"/>
      <c r="K41" s="237"/>
      <c r="L41" s="237"/>
      <c r="M41" s="237"/>
      <c r="N41" s="237"/>
      <c r="O41" s="237"/>
    </row>
    <row r="42" spans="2:17" x14ac:dyDescent="0.25">
      <c r="B42" s="75" t="s">
        <v>32</v>
      </c>
      <c r="C42" s="293"/>
    </row>
    <row r="43" spans="2:17" x14ac:dyDescent="0.25">
      <c r="C43" s="273"/>
    </row>
    <row r="45" spans="2:17" x14ac:dyDescent="0.25">
      <c r="D45" s="294"/>
      <c r="E45" s="294"/>
      <c r="F45" s="294"/>
      <c r="G45" s="294"/>
      <c r="H45" s="294"/>
      <c r="I45" s="294"/>
      <c r="J45" s="294"/>
      <c r="K45" s="294"/>
      <c r="L45" s="294"/>
      <c r="M45" s="294"/>
      <c r="N45" s="294"/>
      <c r="O45" s="294"/>
      <c r="P45" s="265"/>
      <c r="Q45" s="265"/>
    </row>
  </sheetData>
  <mergeCells count="4">
    <mergeCell ref="C2:O2"/>
    <mergeCell ref="C3:O3"/>
    <mergeCell ref="B4:O4"/>
    <mergeCell ref="D31:K31"/>
  </mergeCells>
  <printOptions horizontalCentered="1" verticalCentered="1"/>
  <pageMargins left="0.25" right="0.25" top="0.25" bottom="0.25" header="0.51180000000000003" footer="0.51180000000000003"/>
  <pageSetup scale="6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workbookViewId="0">
      <selection activeCell="K29" sqref="K29"/>
    </sheetView>
  </sheetViews>
  <sheetFormatPr defaultColWidth="8.28515625" defaultRowHeight="15" x14ac:dyDescent="0.3"/>
  <cols>
    <col min="1" max="1" width="1.7109375" style="5" customWidth="1"/>
    <col min="2" max="2" width="5" style="5" customWidth="1"/>
    <col min="3" max="3" width="65.42578125" style="5" customWidth="1"/>
    <col min="4" max="4" width="20.7109375" style="5" customWidth="1"/>
    <col min="5" max="5" width="4.140625" style="5" customWidth="1"/>
    <col min="6" max="6" width="8" style="5" customWidth="1"/>
    <col min="7" max="7" width="39.5703125" style="5" customWidth="1"/>
    <col min="8" max="8" width="1.5703125" style="5" customWidth="1"/>
    <col min="9" max="16384" width="8.28515625" style="5"/>
  </cols>
  <sheetData>
    <row r="1" spans="1:9" x14ac:dyDescent="0.3">
      <c r="A1" s="4"/>
      <c r="B1" s="4"/>
      <c r="C1" s="4"/>
      <c r="D1" s="4"/>
      <c r="E1" s="4"/>
      <c r="F1" s="4"/>
      <c r="G1" s="4"/>
      <c r="H1" s="4"/>
    </row>
    <row r="2" spans="1:9" x14ac:dyDescent="0.3">
      <c r="A2" s="4"/>
      <c r="B2" s="4"/>
      <c r="C2" s="4"/>
      <c r="D2" s="4"/>
      <c r="E2" s="4"/>
      <c r="F2" s="4"/>
      <c r="G2" s="4"/>
      <c r="H2" s="4"/>
    </row>
    <row r="3" spans="1:9" ht="21.75" customHeight="1" x14ac:dyDescent="0.4">
      <c r="A3" s="4"/>
      <c r="B3" s="4"/>
      <c r="C3" s="4"/>
      <c r="D3" s="4"/>
      <c r="E3" s="4"/>
      <c r="F3" s="4"/>
      <c r="G3" s="77" t="s">
        <v>85</v>
      </c>
    </row>
    <row r="4" spans="1:9" ht="21" x14ac:dyDescent="0.4">
      <c r="A4" s="4"/>
      <c r="B4" s="190" t="s">
        <v>1</v>
      </c>
      <c r="C4" s="190"/>
      <c r="D4" s="190"/>
      <c r="E4" s="190"/>
      <c r="F4" s="190"/>
      <c r="G4" s="190"/>
      <c r="H4" s="4"/>
    </row>
    <row r="5" spans="1:9" x14ac:dyDescent="0.3">
      <c r="A5" s="4"/>
      <c r="B5" s="4"/>
      <c r="C5" s="4"/>
      <c r="D5" s="4"/>
      <c r="E5" s="4"/>
      <c r="F5" s="4"/>
      <c r="G5" s="4"/>
      <c r="H5" s="4"/>
    </row>
    <row r="6" spans="1:9" ht="18" x14ac:dyDescent="0.35">
      <c r="A6" s="4"/>
      <c r="B6" s="191" t="s">
        <v>86</v>
      </c>
      <c r="C6" s="191"/>
      <c r="D6" s="191"/>
      <c r="E6" s="191"/>
      <c r="F6" s="191"/>
      <c r="G6" s="191"/>
      <c r="H6" s="4"/>
    </row>
    <row r="7" spans="1:9" ht="18" x14ac:dyDescent="0.35">
      <c r="A7" s="4"/>
      <c r="B7" s="193" t="s">
        <v>87</v>
      </c>
      <c r="C7" s="200"/>
      <c r="D7" s="200"/>
      <c r="E7" s="200"/>
      <c r="F7" s="200"/>
      <c r="G7" s="200"/>
      <c r="H7" s="4"/>
    </row>
    <row r="8" spans="1:9" x14ac:dyDescent="0.3">
      <c r="A8" s="4"/>
      <c r="B8" s="4"/>
      <c r="C8" s="4"/>
      <c r="D8" s="4"/>
      <c r="E8" s="4"/>
      <c r="F8" s="4"/>
      <c r="G8" s="4"/>
      <c r="H8" s="4"/>
    </row>
    <row r="9" spans="1:9" x14ac:dyDescent="0.3">
      <c r="A9" s="4"/>
      <c r="B9" s="194" t="s">
        <v>5</v>
      </c>
      <c r="C9" s="194" t="s">
        <v>6</v>
      </c>
      <c r="D9" s="83"/>
      <c r="E9" s="83"/>
      <c r="F9" s="83"/>
      <c r="G9" s="83"/>
      <c r="H9" s="4"/>
    </row>
    <row r="10" spans="1:9" x14ac:dyDescent="0.3">
      <c r="A10" s="4"/>
      <c r="B10" s="194"/>
      <c r="C10" s="194"/>
      <c r="D10" s="83" t="s">
        <v>88</v>
      </c>
      <c r="E10" s="83"/>
      <c r="F10" s="194" t="s">
        <v>89</v>
      </c>
      <c r="G10" s="194"/>
      <c r="H10" s="4"/>
    </row>
    <row r="11" spans="1:9" x14ac:dyDescent="0.3">
      <c r="A11" s="4"/>
      <c r="B11" s="4"/>
      <c r="C11" s="4"/>
      <c r="D11" s="4"/>
      <c r="E11" s="4"/>
      <c r="F11" s="4"/>
      <c r="G11" s="4"/>
      <c r="H11" s="4"/>
      <c r="I11" s="5" t="s">
        <v>90</v>
      </c>
    </row>
    <row r="12" spans="1:9" ht="24" customHeight="1" x14ac:dyDescent="0.3">
      <c r="A12" s="4"/>
      <c r="B12" s="11">
        <v>1</v>
      </c>
      <c r="C12" s="4" t="s">
        <v>91</v>
      </c>
      <c r="D12" s="37">
        <f>[4]CoGS!$B$181</f>
        <v>18908169.553379353</v>
      </c>
      <c r="E12" s="166"/>
      <c r="F12" s="198" t="s">
        <v>92</v>
      </c>
      <c r="G12" s="198"/>
      <c r="H12" s="4"/>
      <c r="I12" s="167">
        <f>D12/D15</f>
        <v>0.17510710330096946</v>
      </c>
    </row>
    <row r="13" spans="1:9" ht="24" customHeight="1" x14ac:dyDescent="0.3">
      <c r="A13" s="4"/>
      <c r="B13" s="11">
        <v>2</v>
      </c>
      <c r="C13" s="4" t="s">
        <v>93</v>
      </c>
      <c r="D13" s="168">
        <f>[3]CoGS!B159+[4]CoGS!$B$159</f>
        <v>326935361.74594593</v>
      </c>
      <c r="E13" s="4"/>
      <c r="F13" s="198" t="s">
        <v>94</v>
      </c>
      <c r="G13" s="198"/>
      <c r="H13" s="4"/>
    </row>
    <row r="14" spans="1:9" ht="24" customHeight="1" thickBot="1" x14ac:dyDescent="0.35">
      <c r="A14" s="4"/>
      <c r="B14" s="11">
        <v>3</v>
      </c>
      <c r="C14" s="4" t="s">
        <v>95</v>
      </c>
      <c r="D14" s="169">
        <f>SUM(D12:D13)</f>
        <v>345843531.29932529</v>
      </c>
      <c r="E14" s="4"/>
      <c r="F14" s="199" t="s">
        <v>96</v>
      </c>
      <c r="G14" s="199"/>
      <c r="H14" s="4"/>
    </row>
    <row r="15" spans="1:9" ht="24" customHeight="1" thickTop="1" x14ac:dyDescent="0.3">
      <c r="A15" s="4"/>
      <c r="B15" s="11">
        <v>4</v>
      </c>
      <c r="C15" s="4" t="s">
        <v>97</v>
      </c>
      <c r="D15" s="170">
        <f>[3]CoGS!B20+[4]CoGS!$B$20</f>
        <v>107980597</v>
      </c>
      <c r="E15" s="4"/>
      <c r="F15" s="198" t="s">
        <v>98</v>
      </c>
      <c r="G15" s="198"/>
      <c r="H15" s="4"/>
    </row>
    <row r="16" spans="1:9" ht="24" customHeight="1" thickBot="1" x14ac:dyDescent="0.35">
      <c r="A16" s="4"/>
      <c r="B16" s="11">
        <v>5</v>
      </c>
      <c r="C16" s="4" t="s">
        <v>99</v>
      </c>
      <c r="D16" s="171">
        <f>D14/D15</f>
        <v>3.2028303316319437</v>
      </c>
      <c r="E16" s="4"/>
      <c r="F16" s="199" t="s">
        <v>100</v>
      </c>
      <c r="G16" s="199"/>
      <c r="H16" s="4"/>
    </row>
    <row r="17" spans="1:13" ht="24" customHeight="1" thickTop="1" thickBot="1" x14ac:dyDescent="0.35">
      <c r="A17" s="4"/>
      <c r="B17" s="11"/>
      <c r="C17" s="4"/>
      <c r="D17" s="172"/>
      <c r="E17" s="4"/>
      <c r="F17" s="173"/>
      <c r="G17" s="173"/>
      <c r="H17" s="4"/>
    </row>
    <row r="18" spans="1:13" ht="29.25" customHeight="1" thickBot="1" x14ac:dyDescent="0.35">
      <c r="A18" s="4"/>
      <c r="B18" s="11">
        <v>6</v>
      </c>
      <c r="C18" s="4" t="s">
        <v>101</v>
      </c>
      <c r="D18" s="174">
        <f>D16</f>
        <v>3.2028303316319437</v>
      </c>
      <c r="E18" s="4"/>
      <c r="F18" s="173"/>
      <c r="G18" s="173"/>
      <c r="H18" s="4"/>
    </row>
    <row r="19" spans="1:13" ht="30.75" customHeight="1" thickBot="1" x14ac:dyDescent="0.35">
      <c r="A19" s="4"/>
      <c r="B19" s="11">
        <v>7</v>
      </c>
      <c r="C19" s="4" t="s">
        <v>102</v>
      </c>
      <c r="D19" s="175">
        <f>D18*39.9/10</f>
        <v>12.779293023211455</v>
      </c>
      <c r="E19" s="4"/>
      <c r="F19" s="4" t="s">
        <v>103</v>
      </c>
      <c r="G19" s="4"/>
      <c r="H19" s="4"/>
    </row>
    <row r="20" spans="1:13" ht="24" hidden="1" customHeight="1" thickTop="1" x14ac:dyDescent="0.3">
      <c r="A20" s="4"/>
      <c r="B20" s="11">
        <v>6</v>
      </c>
      <c r="C20" s="4" t="s">
        <v>104</v>
      </c>
      <c r="D20" s="176"/>
      <c r="E20" s="176"/>
      <c r="F20" s="177">
        <v>6.9749999999999996</v>
      </c>
      <c r="G20" s="4"/>
      <c r="H20" s="4"/>
    </row>
    <row r="21" spans="1:13" ht="24" hidden="1" customHeight="1" x14ac:dyDescent="0.3">
      <c r="A21" s="4"/>
      <c r="B21" s="11">
        <v>7</v>
      </c>
      <c r="C21" s="4" t="s">
        <v>105</v>
      </c>
      <c r="D21" s="178">
        <f>(F20*-2%)+F20</f>
        <v>6.8354999999999997</v>
      </c>
      <c r="E21" s="11" t="s">
        <v>106</v>
      </c>
      <c r="F21" s="179">
        <f>(F20*2%)+F20</f>
        <v>7.1144999999999996</v>
      </c>
      <c r="G21" s="180" t="s">
        <v>107</v>
      </c>
      <c r="H21" s="4"/>
    </row>
    <row r="22" spans="1:13" ht="24" hidden="1" customHeight="1" x14ac:dyDescent="0.3">
      <c r="A22" s="4"/>
      <c r="B22" s="11">
        <v>8</v>
      </c>
      <c r="C22" s="4" t="s">
        <v>108</v>
      </c>
      <c r="D22" s="4"/>
      <c r="E22" s="11" t="s">
        <v>109</v>
      </c>
      <c r="F22" s="179">
        <f>D21</f>
        <v>6.8354999999999997</v>
      </c>
      <c r="G22" s="4" t="s">
        <v>110</v>
      </c>
      <c r="H22" s="4"/>
    </row>
    <row r="23" spans="1:13" ht="24" hidden="1" customHeight="1" x14ac:dyDescent="0.3">
      <c r="A23" s="4"/>
      <c r="B23" s="11">
        <v>9</v>
      </c>
      <c r="C23" s="4" t="s">
        <v>111</v>
      </c>
      <c r="D23" s="178">
        <f>F21+0.01</f>
        <v>7.1244999999999994</v>
      </c>
      <c r="E23" s="11" t="s">
        <v>106</v>
      </c>
      <c r="F23" s="179">
        <f>(F20*5%)+F20</f>
        <v>7.3237499999999995</v>
      </c>
      <c r="G23" s="4" t="s">
        <v>112</v>
      </c>
      <c r="H23" s="4"/>
    </row>
    <row r="24" spans="1:13" ht="24" hidden="1" customHeight="1" x14ac:dyDescent="0.3">
      <c r="A24" s="4"/>
      <c r="B24" s="11">
        <v>10</v>
      </c>
      <c r="C24" s="4" t="s">
        <v>113</v>
      </c>
      <c r="D24" s="4"/>
      <c r="E24" s="11" t="s">
        <v>114</v>
      </c>
      <c r="F24" s="179">
        <f>F23</f>
        <v>7.3237499999999995</v>
      </c>
      <c r="G24" s="4" t="s">
        <v>115</v>
      </c>
      <c r="H24" s="4"/>
    </row>
    <row r="25" spans="1:13" ht="24" hidden="1" customHeight="1" thickTop="1" x14ac:dyDescent="0.3">
      <c r="A25" s="4"/>
      <c r="B25" s="11"/>
      <c r="C25" s="4"/>
      <c r="D25" s="4"/>
      <c r="E25" s="4"/>
      <c r="F25" s="4"/>
      <c r="G25" s="4"/>
      <c r="H25" s="4"/>
    </row>
    <row r="26" spans="1:13" ht="24" hidden="1" customHeight="1" x14ac:dyDescent="0.3">
      <c r="A26" s="4"/>
      <c r="B26" s="11"/>
      <c r="C26" s="4"/>
      <c r="D26" s="4"/>
      <c r="E26" s="4"/>
      <c r="F26" s="4"/>
      <c r="G26" s="4"/>
      <c r="H26" s="4"/>
    </row>
    <row r="27" spans="1:13" ht="24" customHeight="1" thickTop="1" x14ac:dyDescent="0.3">
      <c r="A27" s="4"/>
      <c r="B27" s="11"/>
      <c r="C27" s="4"/>
      <c r="D27" s="4"/>
      <c r="E27" s="4"/>
      <c r="F27" s="4"/>
      <c r="G27" s="4"/>
      <c r="H27" s="4"/>
    </row>
    <row r="28" spans="1:13" ht="24" customHeight="1" x14ac:dyDescent="0.3">
      <c r="A28" s="4"/>
      <c r="B28" s="11"/>
      <c r="C28" s="181" t="s">
        <v>116</v>
      </c>
      <c r="D28" s="4"/>
      <c r="E28" s="4"/>
      <c r="F28" s="4"/>
      <c r="G28" s="4"/>
      <c r="H28" s="4"/>
    </row>
    <row r="29" spans="1:13" ht="24" customHeight="1" x14ac:dyDescent="0.3">
      <c r="A29" s="4"/>
      <c r="B29" s="11"/>
      <c r="C29" s="181" t="s">
        <v>117</v>
      </c>
      <c r="D29" s="4"/>
      <c r="E29" s="4"/>
      <c r="F29" s="4"/>
      <c r="G29" s="4"/>
      <c r="H29" s="4"/>
    </row>
    <row r="30" spans="1:13" ht="24" customHeight="1" x14ac:dyDescent="0.3">
      <c r="A30" s="4"/>
      <c r="B30" s="11"/>
      <c r="C30" s="181" t="s">
        <v>118</v>
      </c>
      <c r="D30" s="4"/>
      <c r="E30" s="4"/>
      <c r="F30" s="4"/>
      <c r="G30" s="4"/>
      <c r="H30" s="4"/>
    </row>
    <row r="31" spans="1:13" ht="15.75" customHeight="1" x14ac:dyDescent="0.3">
      <c r="A31" s="4"/>
      <c r="B31" s="11"/>
      <c r="C31" s="182" t="s">
        <v>119</v>
      </c>
      <c r="D31" s="4"/>
      <c r="E31" s="4"/>
      <c r="F31" s="4"/>
      <c r="G31" s="4"/>
      <c r="H31" s="4"/>
    </row>
    <row r="32" spans="1:13" ht="24" customHeight="1" x14ac:dyDescent="0.3">
      <c r="A32" s="4"/>
      <c r="B32" s="11"/>
      <c r="C32" s="181" t="s">
        <v>120</v>
      </c>
      <c r="D32" s="4"/>
      <c r="E32" s="4"/>
      <c r="F32" s="4"/>
      <c r="G32" s="4"/>
      <c r="H32" s="4"/>
      <c r="M32" s="183"/>
    </row>
    <row r="33" spans="1:8" ht="24" customHeight="1" x14ac:dyDescent="0.3">
      <c r="A33" s="4"/>
      <c r="B33" s="4"/>
      <c r="C33" s="4"/>
      <c r="D33" s="4"/>
      <c r="E33" s="4"/>
      <c r="F33" s="4"/>
      <c r="G33" s="4"/>
      <c r="H33" s="4"/>
    </row>
    <row r="34" spans="1:8" x14ac:dyDescent="0.3">
      <c r="A34" s="4"/>
      <c r="B34" s="4"/>
      <c r="C34" s="4"/>
      <c r="D34" s="4"/>
      <c r="E34" s="4"/>
      <c r="F34" s="4"/>
      <c r="G34" s="4"/>
      <c r="H34" s="4"/>
    </row>
    <row r="35" spans="1:8" x14ac:dyDescent="0.3">
      <c r="A35" s="4"/>
      <c r="B35" s="4"/>
      <c r="C35" s="4"/>
      <c r="D35" s="4"/>
      <c r="E35" s="4"/>
      <c r="F35" s="4"/>
      <c r="G35" s="4"/>
      <c r="H35" s="4"/>
    </row>
    <row r="36" spans="1:8" x14ac:dyDescent="0.3">
      <c r="A36" s="4"/>
      <c r="B36" s="4"/>
      <c r="C36" s="4"/>
      <c r="D36" s="4"/>
      <c r="E36" s="4"/>
      <c r="F36" s="4"/>
      <c r="G36" s="4"/>
      <c r="H36" s="4"/>
    </row>
    <row r="37" spans="1:8" x14ac:dyDescent="0.3">
      <c r="A37" s="4"/>
      <c r="B37" s="4"/>
      <c r="C37" s="4"/>
      <c r="D37" s="4"/>
      <c r="E37" s="4"/>
      <c r="F37" s="4"/>
      <c r="G37" s="4"/>
      <c r="H37" s="4"/>
    </row>
    <row r="38" spans="1:8" x14ac:dyDescent="0.3">
      <c r="A38" s="4"/>
      <c r="B38" s="4"/>
      <c r="C38" s="4"/>
      <c r="D38" s="4"/>
      <c r="E38" s="4"/>
      <c r="F38" s="4"/>
      <c r="G38" s="4"/>
      <c r="H38" s="4"/>
    </row>
    <row r="39" spans="1:8" x14ac:dyDescent="0.3">
      <c r="A39" s="4"/>
      <c r="B39" s="4"/>
      <c r="C39" s="4"/>
      <c r="D39" s="4"/>
      <c r="E39" s="4"/>
      <c r="F39" s="4"/>
      <c r="G39" s="4"/>
      <c r="H39" s="4"/>
    </row>
    <row r="40" spans="1:8" x14ac:dyDescent="0.3">
      <c r="A40" s="4"/>
      <c r="B40" s="4"/>
      <c r="C40" s="4"/>
      <c r="D40" s="4"/>
      <c r="E40" s="4"/>
      <c r="F40" s="4"/>
      <c r="G40" s="4"/>
      <c r="H40" s="4"/>
    </row>
    <row r="41" spans="1:8" x14ac:dyDescent="0.3">
      <c r="A41" s="4"/>
      <c r="B41" s="4"/>
      <c r="C41" s="4"/>
      <c r="D41" s="4"/>
      <c r="E41" s="4"/>
      <c r="F41" s="4"/>
      <c r="G41" s="4"/>
      <c r="H41" s="4"/>
    </row>
    <row r="42" spans="1:8" x14ac:dyDescent="0.3">
      <c r="A42" s="4"/>
      <c r="B42" s="4"/>
      <c r="C42" s="4"/>
      <c r="D42" s="4"/>
      <c r="E42" s="4"/>
      <c r="F42" s="4"/>
      <c r="G42" s="4"/>
      <c r="H42" s="4"/>
    </row>
    <row r="43" spans="1:8" x14ac:dyDescent="0.3">
      <c r="A43" s="4"/>
      <c r="B43" s="4"/>
      <c r="C43" s="4"/>
      <c r="D43" s="4"/>
      <c r="E43" s="4"/>
      <c r="F43" s="4"/>
      <c r="G43" s="4"/>
      <c r="H43" s="4"/>
    </row>
    <row r="44" spans="1:8" x14ac:dyDescent="0.3">
      <c r="A44" s="4"/>
      <c r="B44" s="4"/>
      <c r="C44" s="4"/>
      <c r="D44" s="4"/>
      <c r="E44" s="4"/>
      <c r="F44" s="4"/>
      <c r="G44" s="4"/>
      <c r="H44" s="4"/>
    </row>
    <row r="45" spans="1:8" x14ac:dyDescent="0.3">
      <c r="A45" s="4"/>
      <c r="B45" s="4"/>
      <c r="C45" s="4"/>
      <c r="D45" s="4"/>
      <c r="E45" s="4"/>
      <c r="F45" s="4"/>
      <c r="G45" s="4"/>
      <c r="H45" s="4"/>
    </row>
    <row r="46" spans="1:8" x14ac:dyDescent="0.3">
      <c r="A46" s="4"/>
      <c r="B46" s="4"/>
      <c r="C46" s="4"/>
      <c r="D46" s="4"/>
      <c r="E46" s="4"/>
      <c r="F46" s="4"/>
      <c r="G46" s="4"/>
      <c r="H46" s="4"/>
    </row>
    <row r="47" spans="1:8" x14ac:dyDescent="0.3">
      <c r="A47" s="4"/>
      <c r="B47" s="4"/>
      <c r="C47" s="4"/>
      <c r="D47" s="4"/>
      <c r="E47" s="4"/>
      <c r="F47" s="4"/>
      <c r="G47" s="4"/>
      <c r="H47" s="4"/>
    </row>
    <row r="48" spans="1:8" x14ac:dyDescent="0.3">
      <c r="A48" s="4"/>
      <c r="B48" s="4"/>
      <c r="C48" s="4"/>
      <c r="D48" s="4"/>
      <c r="E48" s="4"/>
      <c r="F48" s="4"/>
      <c r="G48" s="4"/>
      <c r="H48" s="4"/>
    </row>
    <row r="49" spans="1:8" x14ac:dyDescent="0.3">
      <c r="A49" s="4"/>
      <c r="B49" s="4"/>
      <c r="C49" s="4"/>
      <c r="D49" s="4"/>
      <c r="E49" s="4"/>
      <c r="F49" s="4"/>
      <c r="G49" s="4"/>
      <c r="H49" s="4"/>
    </row>
    <row r="50" spans="1:8" x14ac:dyDescent="0.3">
      <c r="A50" s="4"/>
      <c r="B50" s="4"/>
      <c r="C50" s="4"/>
      <c r="D50" s="4"/>
      <c r="E50" s="4"/>
      <c r="F50" s="4"/>
      <c r="G50" s="4"/>
      <c r="H50" s="4"/>
    </row>
    <row r="51" spans="1:8" x14ac:dyDescent="0.3">
      <c r="A51" s="4"/>
      <c r="B51" s="4"/>
      <c r="C51" s="4"/>
      <c r="D51" s="4"/>
      <c r="E51" s="4"/>
      <c r="F51" s="4"/>
      <c r="G51" s="4"/>
      <c r="H51" s="4"/>
    </row>
    <row r="52" spans="1:8" x14ac:dyDescent="0.3">
      <c r="A52" s="4"/>
      <c r="B52" s="4"/>
      <c r="C52" s="4"/>
      <c r="D52" s="4"/>
      <c r="E52" s="4"/>
      <c r="F52" s="4"/>
      <c r="G52" s="4"/>
      <c r="H52" s="4"/>
    </row>
    <row r="53" spans="1:8" x14ac:dyDescent="0.3">
      <c r="A53" s="4"/>
      <c r="B53" s="4"/>
      <c r="C53" s="4"/>
      <c r="D53" s="4"/>
      <c r="E53" s="4"/>
      <c r="F53" s="4"/>
      <c r="G53" s="4"/>
      <c r="H53" s="4"/>
    </row>
  </sheetData>
  <mergeCells count="11">
    <mergeCell ref="B4:G4"/>
    <mergeCell ref="B6:G6"/>
    <mergeCell ref="B7:G7"/>
    <mergeCell ref="B9:B10"/>
    <mergeCell ref="C9:C10"/>
    <mergeCell ref="F10:G10"/>
    <mergeCell ref="F12:G12"/>
    <mergeCell ref="F13:G13"/>
    <mergeCell ref="F14:G14"/>
    <mergeCell ref="F15:G15"/>
    <mergeCell ref="F16:G16"/>
  </mergeCells>
  <printOptions horizontalCentered="1"/>
  <pageMargins left="0.75" right="0.75" top="1" bottom="1" header="0.5" footer="0.5"/>
  <pageSetup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 Sch 1.0 COGS Page 1</vt:lpstr>
      <vt:lpstr> Sch 1.0 COGS Page 2</vt:lpstr>
      <vt:lpstr> Sch 1.1 Prices Page 1</vt:lpstr>
      <vt:lpstr> Sch 1.1 Prices Page 2</vt:lpstr>
      <vt:lpstr>Sch 1.2 Storage Page 1 </vt:lpstr>
      <vt:lpstr>Sch 1.2 Storage Page 2</vt:lpstr>
      <vt:lpstr>Sch 2.0 (21 Rate App)</vt:lpstr>
      <vt:lpstr>Sch 2.1 (21 Rate App)</vt:lpstr>
      <vt:lpstr> Sch 3.0 Rate </vt:lpstr>
      <vt:lpstr>' Sch 1.0 COGS Page 1'!Print_Area</vt:lpstr>
      <vt:lpstr>' Sch 1.0 COGS Page 2'!Print_Area</vt:lpstr>
      <vt:lpstr>' Sch 3.0 Rate '!Print_Area</vt:lpstr>
      <vt:lpstr>'Sch 1.2 Storage Page 1 '!Print_Area</vt:lpstr>
      <vt:lpstr>'Sch 1.2 Storage Page 2'!Print_Area</vt:lpstr>
    </vt:vector>
  </TitlesOfParts>
  <Company>SaskEnergy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Christie</dc:creator>
  <cp:lastModifiedBy>Lori Christie</cp:lastModifiedBy>
  <dcterms:created xsi:type="dcterms:W3CDTF">2021-09-28T14:40:27Z</dcterms:created>
  <dcterms:modified xsi:type="dcterms:W3CDTF">2021-09-28T18:49:09Z</dcterms:modified>
</cp:coreProperties>
</file>