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ett\Dropbox\Coal extension costs\"/>
    </mc:Choice>
  </mc:AlternateContent>
  <xr:revisionPtr revIDLastSave="0" documentId="13_ncr:1_{D7CE26C9-BAB5-4A7E-8ADC-13E97F0A076A}" xr6:coauthVersionLast="47" xr6:coauthVersionMax="47" xr10:uidLastSave="{00000000-0000-0000-0000-000000000000}"/>
  <bookViews>
    <workbookView xWindow="1764" yWindow="552" windowWidth="19536" windowHeight="10680" firstSheet="6" activeTab="7" xr2:uid="{5EB253DC-D354-4E06-BD45-6EE5F720AECB}"/>
  </bookViews>
  <sheets>
    <sheet name="Scenario Summary" sheetId="8" r:id="rId1"/>
    <sheet name="Scenario calculation" sheetId="5" r:id="rId2"/>
    <sheet name="Capital Cost of Projects" sheetId="4" r:id="rId3"/>
    <sheet name="SaskPower AR data" sheetId="7" r:id="rId4"/>
    <sheet name="EIA AEO 2026 costs" sheetId="12" r:id="rId5"/>
    <sheet name="Gas efficiency" sheetId="11" r:id="rId6"/>
    <sheet name="Carbon price exposure" sheetId="14" r:id="rId7"/>
    <sheet name="Coal emissions intensity" sheetId="6" r:id="rId8"/>
    <sheet name="Table A7–9" sheetId="15" r:id="rId9"/>
    <sheet name="GHGRP data" sheetId="9" r:id="rId10"/>
  </sheets>
  <definedNames>
    <definedName name="_1990">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2000">#REF!</definedName>
    <definedName name="_2001">#REF!</definedName>
    <definedName name="_2002">#REF!</definedName>
    <definedName name="_2003">#REF!</definedName>
    <definedName name="_2004">#REF!</definedName>
    <definedName name="_2005">#REF!</definedName>
    <definedName name="_2006">#REF!</definedName>
    <definedName name="_2007">#REF!</definedName>
    <definedName name="_2008">#REF!</definedName>
    <definedName name="_2009">#REF!</definedName>
    <definedName name="_2010">#REF!</definedName>
    <definedName name="_2011">#REF!</definedName>
    <definedName name="_2012">#REF!</definedName>
    <definedName name="_2013">#REF!</definedName>
    <definedName name="_2014">#REF!</definedName>
    <definedName name="_2015">#REF!</definedName>
    <definedName name="_2016">#REF!</definedName>
    <definedName name="_2017">#REF!</definedName>
    <definedName name="_2018">#REF!</definedName>
    <definedName name="_2019">#REF!</definedName>
    <definedName name="_2020">#REF!</definedName>
    <definedName name="_2021">#REF!</definedName>
    <definedName name="all">#REF!</definedName>
    <definedName name="Boreal">#REF!</definedName>
    <definedName name="Carbon_fraction">#REF!</definedName>
    <definedName name="Comm_Heading">#REF!</definedName>
    <definedName name="Commodity">#REF!</definedName>
    <definedName name="Coniferous">#REF!</definedName>
    <definedName name="CRF_CountryName">#REF!</definedName>
    <definedName name="CRF_InventoryYear">#REF!</definedName>
    <definedName name="CRF_Status">#REF!</definedName>
    <definedName name="CRF_Submission">#REF!</definedName>
    <definedName name="CRF_Summary1_A_Main">#REF!</definedName>
    <definedName name="CRF_Summary1_A_Range1">#REF!</definedName>
    <definedName name="CRF_Summary2_Main">#REF!</definedName>
    <definedName name="CRF_Summary2_Range1">#REF!</definedName>
    <definedName name="CRF_Table10s1_Dyn10">#REF!</definedName>
    <definedName name="CRF_Table10s1_Dyn11">#REF!</definedName>
    <definedName name="CRF_Table10s1_Dyn12">#REF!</definedName>
    <definedName name="CRF_Table10s1_Dyn13">#REF!</definedName>
    <definedName name="CRF_Table10s1_Dyn14">#REF!</definedName>
    <definedName name="CRF_Table10s1_Dyn15">#REF!</definedName>
    <definedName name="CRF_Table10s1_Dyn16">#REF!</definedName>
    <definedName name="CRF_Table10s1_Dyn17">#REF!</definedName>
    <definedName name="CRF_Table10s1_Dyn18">#REF!</definedName>
    <definedName name="CRF_Table10s1_Dyn19">#REF!</definedName>
    <definedName name="CRF_Table10s1_Dyn20">#REF!</definedName>
    <definedName name="CRF_Table10s1_Dyn21">#REF!</definedName>
    <definedName name="CRF_Table10s1_Dyn22">#REF!</definedName>
    <definedName name="CRF_Table3_Dyn11">#REF!</definedName>
    <definedName name="CRF_Title">#REF!</definedName>
    <definedName name="Data">#REF!,#REF!,#REF!,#REF!,#REF!,#REF!</definedName>
    <definedName name="FinishYearforaverage">#REF!</definedName>
    <definedName name="Forest_Region">#REF!</definedName>
    <definedName name="ForestRegion">#REF!</definedName>
    <definedName name="hardwood">#REF!</definedName>
    <definedName name="Hydro">#REF!</definedName>
    <definedName name="LwithLULUCF2006">#REF!</definedName>
    <definedName name="macrofinishyear">#REF!</definedName>
    <definedName name="macrostartyear">#REF!</definedName>
    <definedName name="Nonconiferous">#REF!</definedName>
    <definedName name="_xlnm.Print_Area" localSheetId="8">'Table A7–9'!$B$1:$D$2</definedName>
    <definedName name="q11_D_by_Industrial_Class_RU">#REF!</definedName>
    <definedName name="S._Arctic">#REF!</definedName>
    <definedName name="Sam">#REF!,#REF!,#REF!,#REF!,#REF!,#REF!</definedName>
    <definedName name="Sheet36Range1">#REF!</definedName>
    <definedName name="Sheet37Range1">#REF!</definedName>
    <definedName name="Sheet37Range2">#REF!</definedName>
    <definedName name="Sheet37Range3">#REF!</definedName>
    <definedName name="Sheet37Range4">#REF!</definedName>
    <definedName name="Sheet37Range5">#REF!</definedName>
    <definedName name="Sheet37Range6">#REF!</definedName>
    <definedName name="Sheet37Range7">#REF!</definedName>
    <definedName name="Sheet37Range8">#REF!</definedName>
    <definedName name="Sheet37Range9">#REF!</definedName>
    <definedName name="Sheet38Range1">#REF!</definedName>
    <definedName name="Sheet38Range2">#REF!</definedName>
    <definedName name="Sheet38Range3">#REF!</definedName>
    <definedName name="Sheet38Range4">#REF!</definedName>
    <definedName name="Sheet38Range5">#REF!</definedName>
    <definedName name="Sheet38Range6">#REF!</definedName>
    <definedName name="Sheet38Range7">#REF!</definedName>
    <definedName name="Sheet39Range1">#REF!</definedName>
    <definedName name="Sheet39Range2">#REF!</definedName>
    <definedName name="Sheet39Range3">#REF!</definedName>
    <definedName name="Sheet39Range4">#REF!</definedName>
    <definedName name="Sheet39Range5">#REF!</definedName>
    <definedName name="Sheet40Range1">#REF!</definedName>
    <definedName name="Sheet40Range2">#REF!</definedName>
    <definedName name="Sheet40Range3">#REF!</definedName>
    <definedName name="Sheet40Range4">#REF!</definedName>
    <definedName name="Sheet40Range5">#REF!</definedName>
    <definedName name="Sheet40Range6">#REF!</definedName>
    <definedName name="Sheet40Range7">#REF!</definedName>
    <definedName name="Sheet41Range1">#REF!</definedName>
    <definedName name="Sheet41Range2">#REF!</definedName>
    <definedName name="Sheet51Range3">#REF!</definedName>
    <definedName name="Sheet64Range1">#REF!</definedName>
    <definedName name="Sheet64Range2">#REF!</definedName>
    <definedName name="Sheet64Range3">#REF!</definedName>
    <definedName name="Sheet64Range4">#REF!</definedName>
    <definedName name="Sheet8Range2">#REF!</definedName>
    <definedName name="softwood">#REF!</definedName>
    <definedName name="StartYearforaverage">#REF!</definedName>
    <definedName name="Summary">#REF!</definedName>
    <definedName name="tbl_q15_Pre_Type_Proportions_Pro_Rate">#REF!</definedName>
    <definedName name="tbl_q8_D_RU_pc_Annual">#REF!</definedName>
    <definedName name="Temperate">#REF!</definedName>
    <definedName name="TwithLULUCF2006">#REF!</definedName>
    <definedName name="VehPopChart">#REF!,#REF!,#REF!,#REF!,#REF!,#REF!</definedName>
    <definedName name="withLULUCF1990">#REF!</definedName>
    <definedName name="withLULUCF2006">#REF!</definedName>
    <definedName name="woLULUCF06">#REF!</definedName>
    <definedName name="woLULUCF1990">#REF!</definedName>
    <definedName name="wrn.All._.Pages." hidden="1">{"Assumptions51",#N/A,FALSE,"5-1 Assumptions";"assume52",#N/A,FALSE,"5-2 Assumptions";"assume53",#N/A,FALSE,"5-3 Assumptions";"Assumptions54",#N/A,FALSE,"5-4 Assumptions";"Assumptions55",#N/A,FALSE,"5-5 Assumptions";"All51",#N/A,FALSE,"5-1 IPCC-1";"Inherit51",#N/A,FALSE,"5-1 IPCC-2";"All52",#N/A,FALSE,"5-2 IPCC";"All53",#N/A,FALSE,"5-3 IPCC";"All54",#N/A,FALSE,"5-4 IPCC";"Soils55",#N/A,FALSE,"5-5 IPCC"}</definedName>
    <definedName name="wrn.Assumptions._.Only." hidden="1">{"Assumptions51",#N/A,FALSE,"5-1 Assumptions";"assume52",#N/A,FALSE,"5-2 Assumptions";"assume53",#N/A,FALSE,"5-3 Assumptions";"Assumptions54",#N/A,FALSE,"5-4 Assumptions";"Assumptions55",#N/A,FALSE,"5-5 Assumptions"}</definedName>
    <definedName name="wrn.P51._.IPCC_1." hidden="1">{"All51",#N/A,FALSE,"5-1 IPCC-1"}</definedName>
    <definedName name="wrn.P51._.IPCC_2." hidden="1">{"Inherit51",#N/A,FALSE,"5-1 IPCC-2"}</definedName>
    <definedName name="wrn.P52" hidden="1">{"All51",#N/A,FALSE,"5-1 IPCC-1"}</definedName>
    <definedName name="wrn.P52." hidden="1">{"All52",#N/A,FALSE,"5-2 IPCC"}</definedName>
    <definedName name="wrn.P53" hidden="1">{"All52",#N/A,FALSE,"5-2 IPCC"}</definedName>
    <definedName name="wrn.P53." hidden="1">{"All53",#N/A,FALSE,"5-3 IPCC"}</definedName>
    <definedName name="wrn.P53._.to._.P55." hidden="1">{"All53",#N/A,FALSE,"5-3 IPCC";"All54",#N/A,FALSE,"5-4 IPCC";"Soils55",#N/A,FALSE,"5-5 IPCC"}</definedName>
    <definedName name="wrn.P54." hidden="1">{"All54",#N/A,FALSE,"5-4 IPCC"}</definedName>
    <definedName name="wrn.P55" hidden="1">{"Inherit51",#N/A,FALSE,"5-1 IPCC-2"}</definedName>
    <definedName name="wrn.P55." hidden="1">{"Soils55",#N/A,FALSE,"5-5 IPCC"}</definedName>
    <definedName name="wrn.P56" hidden="1">{"Soils55",#N/A,FALSE,"5-5 IPCC"}</definedName>
    <definedName name="wrn.p57" hidden="1">{"Soils55",#N/A,FALSE,"5-5 IPCC"}</definedName>
    <definedName name="YEAR">#REF!</definedName>
    <definedName name="Year_C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S37" i="5"/>
  <c r="M37" i="5"/>
  <c r="G37" i="5"/>
  <c r="S36" i="5"/>
  <c r="M36" i="5"/>
  <c r="G36" i="5"/>
  <c r="I20" i="6"/>
  <c r="B26" i="5"/>
  <c r="T28" i="14"/>
  <c r="O28" i="14"/>
  <c r="M28" i="14"/>
  <c r="I28" i="14"/>
  <c r="G28" i="14"/>
  <c r="E28" i="14"/>
  <c r="B26" i="14"/>
  <c r="E26" i="14"/>
  <c r="F26" i="14"/>
  <c r="G26" i="14"/>
  <c r="I26" i="14"/>
  <c r="L26" i="14"/>
  <c r="N26" i="14" s="1"/>
  <c r="O26" i="14" s="1"/>
  <c r="Q26" i="14" s="1"/>
  <c r="Q28" i="14" s="1"/>
  <c r="M26" i="14"/>
  <c r="S26" i="14"/>
  <c r="T26" i="14"/>
  <c r="U26" i="14"/>
  <c r="V26" i="14" s="1"/>
  <c r="X26" i="14" s="1"/>
  <c r="X28" i="14" s="1"/>
  <c r="H8" i="4"/>
  <c r="P3" i="5"/>
  <c r="G6" i="4"/>
  <c r="G26" i="4"/>
  <c r="D4" i="8"/>
  <c r="C23" i="6"/>
  <c r="D23" i="6"/>
  <c r="E23" i="6"/>
  <c r="F23" i="6"/>
  <c r="G23" i="6"/>
  <c r="H23" i="6"/>
  <c r="B23" i="6"/>
  <c r="C22" i="6"/>
  <c r="D22" i="6"/>
  <c r="E22" i="6"/>
  <c r="F22" i="6"/>
  <c r="G22" i="6"/>
  <c r="H22" i="6"/>
  <c r="B22" i="6"/>
  <c r="C21" i="6"/>
  <c r="D21" i="6"/>
  <c r="E21" i="6"/>
  <c r="F21" i="6"/>
  <c r="G21" i="6"/>
  <c r="H21" i="6"/>
  <c r="B21" i="6"/>
  <c r="C20" i="6"/>
  <c r="D20" i="6"/>
  <c r="E20" i="6"/>
  <c r="F20" i="6"/>
  <c r="G20" i="6"/>
  <c r="H20" i="6"/>
  <c r="B20" i="6"/>
  <c r="C19" i="6"/>
  <c r="D19" i="6"/>
  <c r="E19" i="6"/>
  <c r="F19" i="6"/>
  <c r="G19" i="6"/>
  <c r="H19" i="6"/>
  <c r="B19" i="6"/>
  <c r="C18" i="6"/>
  <c r="D18" i="6"/>
  <c r="E18" i="6"/>
  <c r="F18" i="6"/>
  <c r="G18" i="6"/>
  <c r="H18" i="6"/>
  <c r="B18" i="6"/>
  <c r="A1" i="15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B44" i="14"/>
  <c r="F43" i="14"/>
  <c r="F42" i="14"/>
  <c r="F41" i="14"/>
  <c r="F40" i="14"/>
  <c r="F39" i="14"/>
  <c r="F38" i="14"/>
  <c r="F37" i="14"/>
  <c r="F36" i="14"/>
  <c r="F35" i="14"/>
  <c r="F34" i="14"/>
  <c r="P16" i="5"/>
  <c r="J16" i="5"/>
  <c r="D16" i="5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" i="14"/>
  <c r="B12" i="14"/>
  <c r="P4" i="5" l="1"/>
  <c r="V28" i="14"/>
  <c r="B45" i="14"/>
  <c r="B46" i="14" s="1"/>
  <c r="B47" i="14" s="1"/>
  <c r="B48" i="14" s="1"/>
  <c r="B49" i="14" s="1"/>
  <c r="B50" i="14"/>
  <c r="B51" i="14" s="1"/>
  <c r="B52" i="14" s="1"/>
  <c r="B53" i="14" s="1"/>
  <c r="B54" i="14" s="1"/>
  <c r="B55" i="14" s="1"/>
  <c r="B56" i="14" s="1"/>
  <c r="B57" i="14" s="1"/>
  <c r="B13" i="14"/>
  <c r="I16" i="12"/>
  <c r="I15" i="12"/>
  <c r="I14" i="12"/>
  <c r="I13" i="12"/>
  <c r="I12" i="12"/>
  <c r="I11" i="12"/>
  <c r="H16" i="12"/>
  <c r="H15" i="12"/>
  <c r="H14" i="12"/>
  <c r="H13" i="12"/>
  <c r="H12" i="12"/>
  <c r="H11" i="12"/>
  <c r="G16" i="12"/>
  <c r="G15" i="12"/>
  <c r="G14" i="12"/>
  <c r="G13" i="12"/>
  <c r="G12" i="12"/>
  <c r="G11" i="12"/>
  <c r="E12" i="12"/>
  <c r="E13" i="12"/>
  <c r="E14" i="12"/>
  <c r="E15" i="12"/>
  <c r="E16" i="12"/>
  <c r="E11" i="12"/>
  <c r="D4" i="11"/>
  <c r="C4" i="11"/>
  <c r="G48" i="7"/>
  <c r="G50" i="7" s="1"/>
  <c r="G47" i="7"/>
  <c r="G13" i="7"/>
  <c r="G14" i="7"/>
  <c r="G15" i="7"/>
  <c r="G11" i="7"/>
  <c r="G10" i="7"/>
  <c r="G12" i="7"/>
  <c r="G44" i="7"/>
  <c r="G43" i="7"/>
  <c r="G42" i="7"/>
  <c r="C50" i="7"/>
  <c r="D50" i="7"/>
  <c r="E50" i="7"/>
  <c r="B50" i="7"/>
  <c r="C48" i="7"/>
  <c r="D48" i="7"/>
  <c r="E48" i="7"/>
  <c r="B48" i="7"/>
  <c r="C47" i="7"/>
  <c r="D47" i="7"/>
  <c r="E47" i="7"/>
  <c r="B47" i="7"/>
  <c r="B14" i="14" l="1"/>
  <c r="B7" i="8"/>
  <c r="B6" i="8"/>
  <c r="B5" i="8"/>
  <c r="P18" i="5"/>
  <c r="R11" i="5"/>
  <c r="R6" i="5" s="1"/>
  <c r="Q11" i="5"/>
  <c r="Q6" i="5" s="1"/>
  <c r="P11" i="5"/>
  <c r="P6" i="5" s="1"/>
  <c r="R13" i="5"/>
  <c r="R14" i="5" s="1"/>
  <c r="R15" i="5" s="1"/>
  <c r="Q13" i="5"/>
  <c r="Q29" i="5" s="1"/>
  <c r="Q30" i="5" s="1"/>
  <c r="Q38" i="5" s="1"/>
  <c r="Q39" i="5" s="1"/>
  <c r="S9" i="5"/>
  <c r="E7" i="8" s="1"/>
  <c r="J5" i="5"/>
  <c r="L13" i="5"/>
  <c r="L29" i="5" s="1"/>
  <c r="L30" i="5" s="1"/>
  <c r="L38" i="5" s="1"/>
  <c r="L39" i="5" s="1"/>
  <c r="K13" i="5"/>
  <c r="K29" i="5" s="1"/>
  <c r="K30" i="5" s="1"/>
  <c r="K38" i="5" s="1"/>
  <c r="K39" i="5" s="1"/>
  <c r="L11" i="5"/>
  <c r="L6" i="5" s="1"/>
  <c r="K11" i="5"/>
  <c r="K6" i="5" s="1"/>
  <c r="M9" i="5"/>
  <c r="D7" i="8" s="1"/>
  <c r="J3" i="5"/>
  <c r="J11" i="5" s="1"/>
  <c r="B35" i="7"/>
  <c r="C35" i="7"/>
  <c r="D35" i="7"/>
  <c r="E35" i="7"/>
  <c r="B37" i="7"/>
  <c r="C37" i="7"/>
  <c r="D37" i="7"/>
  <c r="E37" i="7"/>
  <c r="B38" i="7"/>
  <c r="C38" i="7"/>
  <c r="D38" i="7"/>
  <c r="E38" i="7"/>
  <c r="B39" i="7"/>
  <c r="C39" i="7"/>
  <c r="D39" i="7"/>
  <c r="E39" i="7"/>
  <c r="C34" i="7"/>
  <c r="D34" i="7"/>
  <c r="E34" i="7"/>
  <c r="B34" i="7"/>
  <c r="B19" i="7"/>
  <c r="C19" i="7"/>
  <c r="D19" i="7"/>
  <c r="E19" i="7"/>
  <c r="B20" i="7"/>
  <c r="C20" i="7"/>
  <c r="D20" i="7"/>
  <c r="E20" i="7"/>
  <c r="B21" i="7"/>
  <c r="C21" i="7"/>
  <c r="D21" i="7"/>
  <c r="E21" i="7"/>
  <c r="B22" i="7"/>
  <c r="C22" i="7"/>
  <c r="D22" i="7"/>
  <c r="E22" i="7"/>
  <c r="B23" i="7"/>
  <c r="C23" i="7"/>
  <c r="D23" i="7"/>
  <c r="E23" i="7"/>
  <c r="C18" i="7"/>
  <c r="D18" i="7"/>
  <c r="E18" i="7"/>
  <c r="B18" i="7"/>
  <c r="G9" i="5"/>
  <c r="C7" i="8" s="1"/>
  <c r="F11" i="5"/>
  <c r="F6" i="5" s="1"/>
  <c r="E11" i="5"/>
  <c r="E6" i="5" s="1"/>
  <c r="F13" i="5"/>
  <c r="F14" i="5" s="1"/>
  <c r="F15" i="5" s="1"/>
  <c r="E13" i="5"/>
  <c r="E14" i="5" s="1"/>
  <c r="E15" i="5" s="1"/>
  <c r="D5" i="5"/>
  <c r="D3" i="5"/>
  <c r="B32" i="5"/>
  <c r="B13" i="5"/>
  <c r="B19" i="5" s="1"/>
  <c r="B20" i="5" s="1"/>
  <c r="B22" i="5" s="1"/>
  <c r="B4" i="5"/>
  <c r="E11" i="6"/>
  <c r="E10" i="6"/>
  <c r="D10" i="6"/>
  <c r="D11" i="6" s="1"/>
  <c r="C10" i="6"/>
  <c r="C11" i="6" s="1"/>
  <c r="G9" i="6"/>
  <c r="G10" i="6" s="1"/>
  <c r="G11" i="6" s="1"/>
  <c r="F9" i="6"/>
  <c r="F10" i="6" s="1"/>
  <c r="F11" i="6" s="1"/>
  <c r="E9" i="6"/>
  <c r="D9" i="6"/>
  <c r="C9" i="6"/>
  <c r="D6" i="6"/>
  <c r="D5" i="6"/>
  <c r="C5" i="6"/>
  <c r="C6" i="6" s="1"/>
  <c r="G4" i="6"/>
  <c r="G5" i="6" s="1"/>
  <c r="G6" i="6" s="1"/>
  <c r="F4" i="6"/>
  <c r="F5" i="6" s="1"/>
  <c r="F6" i="6" s="1"/>
  <c r="E4" i="6"/>
  <c r="E5" i="6" s="1"/>
  <c r="E6" i="6" s="1"/>
  <c r="D4" i="6"/>
  <c r="C4" i="6"/>
  <c r="I18" i="4"/>
  <c r="G18" i="4"/>
  <c r="I17" i="4"/>
  <c r="G17" i="4"/>
  <c r="G15" i="4"/>
  <c r="I14" i="4"/>
  <c r="G14" i="4"/>
  <c r="I13" i="4"/>
  <c r="G13" i="4"/>
  <c r="I12" i="4"/>
  <c r="G12" i="4"/>
  <c r="I11" i="4"/>
  <c r="G11" i="4"/>
  <c r="G25" i="4"/>
  <c r="G3" i="4"/>
  <c r="G24" i="4"/>
  <c r="G5" i="4"/>
  <c r="F4" i="5" s="1"/>
  <c r="F5" i="5" s="1"/>
  <c r="G4" i="4"/>
  <c r="Q4" i="5" s="1"/>
  <c r="Q5" i="5" s="1"/>
  <c r="G2" i="4"/>
  <c r="K4" i="5" l="1"/>
  <c r="K5" i="5" s="1"/>
  <c r="L4" i="5"/>
  <c r="L5" i="5" s="1"/>
  <c r="E4" i="5"/>
  <c r="E5" i="5" s="1"/>
  <c r="G5" i="5" s="1"/>
  <c r="R4" i="5"/>
  <c r="R5" i="5" s="1"/>
  <c r="B15" i="14"/>
  <c r="P5" i="5"/>
  <c r="B8" i="8"/>
  <c r="B10" i="8" s="1"/>
  <c r="B11" i="8" s="1"/>
  <c r="R29" i="5"/>
  <c r="R30" i="5" s="1"/>
  <c r="R38" i="5" s="1"/>
  <c r="R39" i="5" s="1"/>
  <c r="S6" i="5"/>
  <c r="Q14" i="5"/>
  <c r="K14" i="5"/>
  <c r="K15" i="5" s="1"/>
  <c r="L14" i="5"/>
  <c r="L15" i="5" s="1"/>
  <c r="J4" i="5"/>
  <c r="J6" i="5"/>
  <c r="M6" i="5" s="1"/>
  <c r="D11" i="5"/>
  <c r="D6" i="5" s="1"/>
  <c r="G6" i="5" s="1"/>
  <c r="B29" i="5"/>
  <c r="B30" i="5" s="1"/>
  <c r="E29" i="5"/>
  <c r="E30" i="5" s="1"/>
  <c r="E38" i="5" s="1"/>
  <c r="E39" i="5" s="1"/>
  <c r="F29" i="5"/>
  <c r="F30" i="5" s="1"/>
  <c r="F38" i="5" s="1"/>
  <c r="F39" i="5" s="1"/>
  <c r="B14" i="5"/>
  <c r="D4" i="5"/>
  <c r="B28" i="5"/>
  <c r="S5" i="5" l="1"/>
  <c r="M5" i="5"/>
  <c r="B16" i="14"/>
  <c r="P14" i="5"/>
  <c r="B38" i="5"/>
  <c r="B12" i="8"/>
  <c r="B9" i="8"/>
  <c r="J14" i="5"/>
  <c r="Q15" i="5"/>
  <c r="D14" i="5"/>
  <c r="D15" i="5" s="1"/>
  <c r="B15" i="5"/>
  <c r="B33" i="5"/>
  <c r="B13" i="8" s="1"/>
  <c r="B14" i="8" s="1"/>
  <c r="B17" i="14" l="1"/>
  <c r="B17" i="8"/>
  <c r="B39" i="5"/>
  <c r="D13" i="5"/>
  <c r="D29" i="5" s="1"/>
  <c r="P13" i="5"/>
  <c r="P15" i="5"/>
  <c r="P17" i="5"/>
  <c r="J15" i="5"/>
  <c r="J13" i="5"/>
  <c r="J17" i="5"/>
  <c r="D17" i="5"/>
  <c r="E43" i="14" l="1"/>
  <c r="G43" i="14" s="1"/>
  <c r="I43" i="14" s="1"/>
  <c r="E35" i="14"/>
  <c r="G35" i="14" s="1"/>
  <c r="I35" i="14" s="1"/>
  <c r="E50" i="14"/>
  <c r="G50" i="14" s="1"/>
  <c r="I50" i="14" s="1"/>
  <c r="E42" i="14"/>
  <c r="G42" i="14" s="1"/>
  <c r="I42" i="14" s="1"/>
  <c r="E53" i="14"/>
  <c r="G53" i="14" s="1"/>
  <c r="I53" i="14" s="1"/>
  <c r="E37" i="14"/>
  <c r="G37" i="14" s="1"/>
  <c r="I37" i="14" s="1"/>
  <c r="E36" i="14"/>
  <c r="G36" i="14" s="1"/>
  <c r="I36" i="14" s="1"/>
  <c r="E34" i="14"/>
  <c r="E57" i="14"/>
  <c r="G57" i="14" s="1"/>
  <c r="I57" i="14" s="1"/>
  <c r="E49" i="14"/>
  <c r="G49" i="14" s="1"/>
  <c r="I49" i="14" s="1"/>
  <c r="E48" i="14"/>
  <c r="G48" i="14" s="1"/>
  <c r="I48" i="14" s="1"/>
  <c r="E47" i="14"/>
  <c r="G47" i="14" s="1"/>
  <c r="I47" i="14" s="1"/>
  <c r="E39" i="14"/>
  <c r="G39" i="14" s="1"/>
  <c r="I39" i="14" s="1"/>
  <c r="E38" i="14"/>
  <c r="G38" i="14" s="1"/>
  <c r="I38" i="14" s="1"/>
  <c r="E45" i="14"/>
  <c r="G45" i="14" s="1"/>
  <c r="I45" i="14" s="1"/>
  <c r="E41" i="14"/>
  <c r="G41" i="14" s="1"/>
  <c r="I41" i="14" s="1"/>
  <c r="E55" i="14"/>
  <c r="G55" i="14" s="1"/>
  <c r="I55" i="14" s="1"/>
  <c r="E56" i="14"/>
  <c r="G56" i="14" s="1"/>
  <c r="I56" i="14" s="1"/>
  <c r="E51" i="14"/>
  <c r="G51" i="14" s="1"/>
  <c r="I51" i="14" s="1"/>
  <c r="E40" i="14"/>
  <c r="G40" i="14" s="1"/>
  <c r="I40" i="14" s="1"/>
  <c r="E46" i="14"/>
  <c r="G46" i="14" s="1"/>
  <c r="I46" i="14" s="1"/>
  <c r="E44" i="14"/>
  <c r="G44" i="14" s="1"/>
  <c r="I44" i="14" s="1"/>
  <c r="E52" i="14"/>
  <c r="G52" i="14" s="1"/>
  <c r="I52" i="14" s="1"/>
  <c r="E54" i="14"/>
  <c r="G54" i="14" s="1"/>
  <c r="I54" i="14" s="1"/>
  <c r="E17" i="14"/>
  <c r="G17" i="14" s="1"/>
  <c r="E21" i="14"/>
  <c r="E16" i="14"/>
  <c r="G16" i="14" s="1"/>
  <c r="I16" i="14" s="1"/>
  <c r="E23" i="14"/>
  <c r="E2" i="14"/>
  <c r="E3" i="14"/>
  <c r="G3" i="14" s="1"/>
  <c r="I3" i="14" s="1"/>
  <c r="E4" i="14"/>
  <c r="G4" i="14" s="1"/>
  <c r="I4" i="14" s="1"/>
  <c r="E5" i="14"/>
  <c r="G5" i="14" s="1"/>
  <c r="I5" i="14" s="1"/>
  <c r="E6" i="14"/>
  <c r="G6" i="14" s="1"/>
  <c r="I6" i="14" s="1"/>
  <c r="E7" i="14"/>
  <c r="G7" i="14" s="1"/>
  <c r="I7" i="14" s="1"/>
  <c r="E8" i="14"/>
  <c r="G8" i="14" s="1"/>
  <c r="I8" i="14" s="1"/>
  <c r="E9" i="14"/>
  <c r="G9" i="14" s="1"/>
  <c r="I9" i="14" s="1"/>
  <c r="E10" i="14"/>
  <c r="G10" i="14" s="1"/>
  <c r="I10" i="14" s="1"/>
  <c r="E11" i="14"/>
  <c r="G11" i="14" s="1"/>
  <c r="I11" i="14" s="1"/>
  <c r="E12" i="14"/>
  <c r="G12" i="14" s="1"/>
  <c r="I12" i="14" s="1"/>
  <c r="E13" i="14"/>
  <c r="G13" i="14" s="1"/>
  <c r="I13" i="14" s="1"/>
  <c r="E14" i="14"/>
  <c r="G14" i="14" s="1"/>
  <c r="I14" i="14" s="1"/>
  <c r="E18" i="14"/>
  <c r="E22" i="14"/>
  <c r="E19" i="14"/>
  <c r="E25" i="14"/>
  <c r="E15" i="14"/>
  <c r="G15" i="14" s="1"/>
  <c r="I15" i="14" s="1"/>
  <c r="E20" i="14"/>
  <c r="E24" i="14"/>
  <c r="B18" i="14"/>
  <c r="D8" i="5"/>
  <c r="G8" i="5" s="1"/>
  <c r="C5" i="8" s="1"/>
  <c r="G29" i="5"/>
  <c r="D12" i="5"/>
  <c r="D30" i="5"/>
  <c r="D19" i="5"/>
  <c r="D20" i="5" s="1"/>
  <c r="D22" i="5" s="1"/>
  <c r="J12" i="5"/>
  <c r="J29" i="5"/>
  <c r="J19" i="5"/>
  <c r="J20" i="5" s="1"/>
  <c r="J22" i="5" s="1"/>
  <c r="P12" i="5"/>
  <c r="P29" i="5"/>
  <c r="P19" i="5"/>
  <c r="P20" i="5" s="1"/>
  <c r="P22" i="5" s="1"/>
  <c r="E59" i="14" l="1"/>
  <c r="G34" i="14"/>
  <c r="G2" i="14"/>
  <c r="I2" i="14" s="1"/>
  <c r="I17" i="14"/>
  <c r="G18" i="14"/>
  <c r="I18" i="14" s="1"/>
  <c r="B19" i="14"/>
  <c r="D26" i="5"/>
  <c r="D7" i="5" s="1"/>
  <c r="G7" i="5" s="1"/>
  <c r="G32" i="5" s="1"/>
  <c r="D24" i="5"/>
  <c r="D27" i="5" s="1"/>
  <c r="D36" i="5" s="1"/>
  <c r="D37" i="5" s="1"/>
  <c r="J26" i="5"/>
  <c r="J7" i="5" s="1"/>
  <c r="M7" i="5" s="1"/>
  <c r="D6" i="8" s="1"/>
  <c r="J24" i="5"/>
  <c r="J27" i="5" s="1"/>
  <c r="J36" i="5" s="1"/>
  <c r="P26" i="5"/>
  <c r="P7" i="5" s="1"/>
  <c r="S7" i="5" s="1"/>
  <c r="E6" i="8" s="1"/>
  <c r="P24" i="5"/>
  <c r="P27" i="5" s="1"/>
  <c r="P36" i="5" s="1"/>
  <c r="G30" i="5"/>
  <c r="C12" i="8" s="1"/>
  <c r="P8" i="5"/>
  <c r="S8" i="5" s="1"/>
  <c r="E5" i="8" s="1"/>
  <c r="P30" i="5"/>
  <c r="S29" i="5"/>
  <c r="M29" i="5"/>
  <c r="J30" i="5"/>
  <c r="J8" i="5"/>
  <c r="M8" i="5" s="1"/>
  <c r="I34" i="14" l="1"/>
  <c r="I59" i="14" s="1"/>
  <c r="I60" i="14" s="1"/>
  <c r="B27" i="8" s="1"/>
  <c r="B28" i="8" s="1"/>
  <c r="G59" i="14"/>
  <c r="G60" i="14" s="1"/>
  <c r="C6" i="8"/>
  <c r="C8" i="8" s="1"/>
  <c r="P37" i="5"/>
  <c r="J37" i="5"/>
  <c r="D38" i="5"/>
  <c r="L25" i="14"/>
  <c r="N25" i="14" s="1"/>
  <c r="L20" i="14"/>
  <c r="N20" i="14" s="1"/>
  <c r="L14" i="14"/>
  <c r="N14" i="14" s="1"/>
  <c r="L10" i="14"/>
  <c r="N10" i="14" s="1"/>
  <c r="L5" i="14"/>
  <c r="N5" i="14" s="1"/>
  <c r="L24" i="14"/>
  <c r="N24" i="14" s="1"/>
  <c r="L19" i="14"/>
  <c r="N19" i="14" s="1"/>
  <c r="L15" i="14"/>
  <c r="N15" i="14" s="1"/>
  <c r="L9" i="14"/>
  <c r="N9" i="14" s="1"/>
  <c r="L6" i="14"/>
  <c r="N6" i="14" s="1"/>
  <c r="L23" i="14"/>
  <c r="N23" i="14" s="1"/>
  <c r="L17" i="14"/>
  <c r="N17" i="14" s="1"/>
  <c r="L12" i="14"/>
  <c r="N12" i="14" s="1"/>
  <c r="L7" i="14"/>
  <c r="N7" i="14" s="1"/>
  <c r="L4" i="14"/>
  <c r="N4" i="14" s="1"/>
  <c r="L2" i="14"/>
  <c r="N2" i="14" s="1"/>
  <c r="L22" i="14"/>
  <c r="N22" i="14" s="1"/>
  <c r="L18" i="14"/>
  <c r="N18" i="14" s="1"/>
  <c r="L13" i="14"/>
  <c r="N13" i="14" s="1"/>
  <c r="L8" i="14"/>
  <c r="N8" i="14" s="1"/>
  <c r="L3" i="14"/>
  <c r="N3" i="14" s="1"/>
  <c r="L21" i="14"/>
  <c r="N21" i="14" s="1"/>
  <c r="L16" i="14"/>
  <c r="N16" i="14" s="1"/>
  <c r="L11" i="14"/>
  <c r="N11" i="14" s="1"/>
  <c r="G19" i="14"/>
  <c r="I19" i="14" s="1"/>
  <c r="B20" i="14"/>
  <c r="E8" i="8"/>
  <c r="G33" i="5"/>
  <c r="C13" i="8" s="1"/>
  <c r="C14" i="8" s="1"/>
  <c r="H33" i="5"/>
  <c r="H32" i="5"/>
  <c r="H34" i="5" s="1"/>
  <c r="S32" i="5"/>
  <c r="M32" i="5"/>
  <c r="D5" i="8"/>
  <c r="D8" i="8" s="1"/>
  <c r="S30" i="5"/>
  <c r="E12" i="8" s="1"/>
  <c r="M30" i="5"/>
  <c r="D12" i="8" s="1"/>
  <c r="B29" i="8" l="1"/>
  <c r="B30" i="8"/>
  <c r="B31" i="8" s="1"/>
  <c r="B32" i="8"/>
  <c r="B33" i="8" s="1"/>
  <c r="C10" i="8"/>
  <c r="C11" i="8" s="1"/>
  <c r="C9" i="8"/>
  <c r="J48" i="5"/>
  <c r="J55" i="5"/>
  <c r="J46" i="5"/>
  <c r="P38" i="5"/>
  <c r="P39" i="5" s="1"/>
  <c r="S3" i="14"/>
  <c r="U3" i="14" s="1"/>
  <c r="S8" i="14"/>
  <c r="U8" i="14" s="1"/>
  <c r="S12" i="14"/>
  <c r="U12" i="14" s="1"/>
  <c r="S19" i="14"/>
  <c r="U19" i="14" s="1"/>
  <c r="S23" i="14"/>
  <c r="U23" i="14" s="1"/>
  <c r="S2" i="14"/>
  <c r="U2" i="14" s="1"/>
  <c r="S6" i="14"/>
  <c r="U6" i="14" s="1"/>
  <c r="S10" i="14"/>
  <c r="U10" i="14" s="1"/>
  <c r="S14" i="14"/>
  <c r="U14" i="14" s="1"/>
  <c r="S17" i="14"/>
  <c r="U17" i="14" s="1"/>
  <c r="S21" i="14"/>
  <c r="U21" i="14" s="1"/>
  <c r="S22" i="14"/>
  <c r="U22" i="14" s="1"/>
  <c r="S25" i="14"/>
  <c r="U25" i="14" s="1"/>
  <c r="S16" i="14"/>
  <c r="U16" i="14" s="1"/>
  <c r="S4" i="14"/>
  <c r="U4" i="14" s="1"/>
  <c r="S9" i="14"/>
  <c r="U9" i="14" s="1"/>
  <c r="S13" i="14"/>
  <c r="U13" i="14" s="1"/>
  <c r="S20" i="14"/>
  <c r="U20" i="14" s="1"/>
  <c r="S24" i="14"/>
  <c r="U24" i="14" s="1"/>
  <c r="S5" i="14"/>
  <c r="U5" i="14" s="1"/>
  <c r="S15" i="14"/>
  <c r="U15" i="14" s="1"/>
  <c r="S7" i="14"/>
  <c r="U7" i="14" s="1"/>
  <c r="S11" i="14"/>
  <c r="U11" i="14" s="1"/>
  <c r="S18" i="14"/>
  <c r="U18" i="14" s="1"/>
  <c r="J38" i="5"/>
  <c r="D17" i="8" s="1"/>
  <c r="C17" i="8"/>
  <c r="D39" i="5"/>
  <c r="G20" i="14"/>
  <c r="I20" i="14" s="1"/>
  <c r="B21" i="14"/>
  <c r="E10" i="8"/>
  <c r="E11" i="8" s="1"/>
  <c r="E9" i="8"/>
  <c r="T33" i="5"/>
  <c r="T32" i="5"/>
  <c r="N32" i="5"/>
  <c r="M33" i="5"/>
  <c r="D13" i="8" s="1"/>
  <c r="D14" i="8" s="1"/>
  <c r="N33" i="5"/>
  <c r="D10" i="8"/>
  <c r="D11" i="8" s="1"/>
  <c r="D9" i="8"/>
  <c r="J39" i="5"/>
  <c r="S33" i="5"/>
  <c r="E13" i="8" s="1"/>
  <c r="E14" i="8" s="1"/>
  <c r="E17" i="8" l="1"/>
  <c r="J50" i="5"/>
  <c r="J52" i="5" s="1"/>
  <c r="G39" i="5"/>
  <c r="M24" i="14"/>
  <c r="M19" i="14"/>
  <c r="O19" i="14" s="1"/>
  <c r="Q19" i="14" s="1"/>
  <c r="M5" i="14"/>
  <c r="O5" i="14" s="1"/>
  <c r="Q5" i="14" s="1"/>
  <c r="M25" i="14"/>
  <c r="M15" i="14"/>
  <c r="O15" i="14" s="1"/>
  <c r="Q15" i="14" s="1"/>
  <c r="M10" i="14"/>
  <c r="O10" i="14" s="1"/>
  <c r="Q10" i="14" s="1"/>
  <c r="M4" i="14"/>
  <c r="O4" i="14" s="1"/>
  <c r="Q4" i="14" s="1"/>
  <c r="M22" i="14"/>
  <c r="O22" i="14" s="1"/>
  <c r="Q22" i="14" s="1"/>
  <c r="M18" i="14"/>
  <c r="O18" i="14" s="1"/>
  <c r="Q18" i="14" s="1"/>
  <c r="M13" i="14"/>
  <c r="O13" i="14" s="1"/>
  <c r="Q13" i="14" s="1"/>
  <c r="M3" i="14"/>
  <c r="O3" i="14" s="1"/>
  <c r="Q3" i="14" s="1"/>
  <c r="M11" i="14"/>
  <c r="O11" i="14" s="1"/>
  <c r="Q11" i="14" s="1"/>
  <c r="M6" i="14"/>
  <c r="O6" i="14" s="1"/>
  <c r="Q6" i="14" s="1"/>
  <c r="G21" i="14"/>
  <c r="I21" i="14" s="1"/>
  <c r="B22" i="14"/>
  <c r="M39" i="5"/>
  <c r="S39" i="5"/>
  <c r="M14" i="14" l="1"/>
  <c r="O14" i="14" s="1"/>
  <c r="Q14" i="14" s="1"/>
  <c r="M9" i="14"/>
  <c r="O9" i="14" s="1"/>
  <c r="Q9" i="14" s="1"/>
  <c r="M20" i="14"/>
  <c r="O20" i="14" s="1"/>
  <c r="Q20" i="14" s="1"/>
  <c r="M2" i="14"/>
  <c r="M8" i="14"/>
  <c r="O8" i="14" s="1"/>
  <c r="Q8" i="14" s="1"/>
  <c r="M21" i="14"/>
  <c r="O21" i="14" s="1"/>
  <c r="Q21" i="14" s="1"/>
  <c r="M17" i="14"/>
  <c r="O17" i="14" s="1"/>
  <c r="Q17" i="14" s="1"/>
  <c r="M12" i="14"/>
  <c r="O12" i="14" s="1"/>
  <c r="Q12" i="14" s="1"/>
  <c r="M7" i="14"/>
  <c r="O7" i="14" s="1"/>
  <c r="Q7" i="14" s="1"/>
  <c r="M23" i="14"/>
  <c r="M16" i="14"/>
  <c r="O16" i="14" s="1"/>
  <c r="Q16" i="14" s="1"/>
  <c r="O2" i="14"/>
  <c r="T22" i="14"/>
  <c r="V22" i="14" s="1"/>
  <c r="X22" i="14" s="1"/>
  <c r="T25" i="14"/>
  <c r="T3" i="14"/>
  <c r="V3" i="14" s="1"/>
  <c r="X3" i="14" s="1"/>
  <c r="T4" i="14"/>
  <c r="V4" i="14" s="1"/>
  <c r="X4" i="14" s="1"/>
  <c r="T5" i="14"/>
  <c r="V5" i="14" s="1"/>
  <c r="X5" i="14" s="1"/>
  <c r="T6" i="14"/>
  <c r="V6" i="14" s="1"/>
  <c r="X6" i="14" s="1"/>
  <c r="T7" i="14"/>
  <c r="V7" i="14" s="1"/>
  <c r="X7" i="14" s="1"/>
  <c r="T8" i="14"/>
  <c r="V8" i="14" s="1"/>
  <c r="X8" i="14" s="1"/>
  <c r="T9" i="14"/>
  <c r="V9" i="14" s="1"/>
  <c r="X9" i="14" s="1"/>
  <c r="T10" i="14"/>
  <c r="V10" i="14" s="1"/>
  <c r="X10" i="14" s="1"/>
  <c r="T11" i="14"/>
  <c r="V11" i="14" s="1"/>
  <c r="X11" i="14" s="1"/>
  <c r="T12" i="14"/>
  <c r="V12" i="14" s="1"/>
  <c r="X12" i="14" s="1"/>
  <c r="T13" i="14"/>
  <c r="V13" i="14" s="1"/>
  <c r="X13" i="14" s="1"/>
  <c r="T14" i="14"/>
  <c r="V14" i="14" s="1"/>
  <c r="X14" i="14" s="1"/>
  <c r="T15" i="14"/>
  <c r="V15" i="14" s="1"/>
  <c r="X15" i="14" s="1"/>
  <c r="T16" i="14"/>
  <c r="V16" i="14" s="1"/>
  <c r="X16" i="14" s="1"/>
  <c r="T17" i="14"/>
  <c r="V17" i="14" s="1"/>
  <c r="X17" i="14" s="1"/>
  <c r="T18" i="14"/>
  <c r="V18" i="14" s="1"/>
  <c r="X18" i="14" s="1"/>
  <c r="T19" i="14"/>
  <c r="V19" i="14" s="1"/>
  <c r="X19" i="14" s="1"/>
  <c r="T20" i="14"/>
  <c r="V20" i="14" s="1"/>
  <c r="X20" i="14" s="1"/>
  <c r="T21" i="14"/>
  <c r="V21" i="14" s="1"/>
  <c r="X21" i="14" s="1"/>
  <c r="T24" i="14"/>
  <c r="T23" i="14"/>
  <c r="T2" i="14"/>
  <c r="G22" i="14"/>
  <c r="I22" i="14" s="1"/>
  <c r="B23" i="14"/>
  <c r="O23" i="14" l="1"/>
  <c r="Q23" i="14" s="1"/>
  <c r="V23" i="14"/>
  <c r="X23" i="14" s="1"/>
  <c r="Q2" i="14"/>
  <c r="V2" i="14"/>
  <c r="G23" i="14"/>
  <c r="I23" i="14" s="1"/>
  <c r="B24" i="14"/>
  <c r="O24" i="14" l="1"/>
  <c r="V24" i="14"/>
  <c r="X24" i="14" s="1"/>
  <c r="X2" i="14"/>
  <c r="G24" i="14"/>
  <c r="I24" i="14" s="1"/>
  <c r="B25" i="14"/>
  <c r="Q24" i="14" l="1"/>
  <c r="O25" i="14"/>
  <c r="Q25" i="14" s="1"/>
  <c r="V25" i="14"/>
  <c r="X25" i="14" s="1"/>
  <c r="X29" i="14" s="1"/>
  <c r="P40" i="5" s="1"/>
  <c r="S40" i="5" s="1"/>
  <c r="S42" i="5" s="1"/>
  <c r="G25" i="14"/>
  <c r="I25" i="14" s="1"/>
  <c r="E18" i="8" l="1"/>
  <c r="V29" i="14"/>
  <c r="O29" i="14"/>
  <c r="Q29" i="14"/>
  <c r="G29" i="14"/>
  <c r="I29" i="14"/>
  <c r="B40" i="5" s="1"/>
  <c r="E19" i="8" l="1"/>
  <c r="E27" i="8"/>
  <c r="J40" i="5"/>
  <c r="M40" i="5" s="1"/>
  <c r="D40" i="5"/>
  <c r="G40" i="5" s="1"/>
  <c r="B42" i="5"/>
  <c r="B18" i="8"/>
  <c r="B19" i="8" s="1"/>
  <c r="E23" i="8" l="1"/>
  <c r="E24" i="8" s="1"/>
  <c r="E28" i="8"/>
  <c r="M42" i="5"/>
  <c r="D18" i="8"/>
  <c r="C18" i="8"/>
  <c r="G42" i="5"/>
  <c r="G43" i="5" s="1"/>
  <c r="S43" i="5"/>
  <c r="B23" i="8"/>
  <c r="B24" i="8" s="1"/>
  <c r="E21" i="8"/>
  <c r="E22" i="8" s="1"/>
  <c r="B21" i="8"/>
  <c r="B22" i="8" s="1"/>
  <c r="B20" i="8"/>
  <c r="E20" i="8"/>
  <c r="C19" i="8" l="1"/>
  <c r="C23" i="8" s="1"/>
  <c r="C24" i="8" s="1"/>
  <c r="C27" i="8"/>
  <c r="D19" i="8"/>
  <c r="D27" i="8"/>
  <c r="E32" i="8"/>
  <c r="E33" i="8" s="1"/>
  <c r="E29" i="8"/>
  <c r="E30" i="8"/>
  <c r="E31" i="8" s="1"/>
  <c r="M43" i="5"/>
  <c r="C28" i="8" l="1"/>
  <c r="C20" i="8"/>
  <c r="D21" i="8"/>
  <c r="D22" i="8" s="1"/>
  <c r="D23" i="8"/>
  <c r="D24" i="8" s="1"/>
  <c r="D28" i="8"/>
  <c r="C21" i="8"/>
  <c r="C22" i="8" s="1"/>
  <c r="D20" i="8"/>
  <c r="C32" i="8" l="1"/>
  <c r="C33" i="8" s="1"/>
  <c r="C30" i="8"/>
  <c r="C31" i="8" s="1"/>
  <c r="C29" i="8"/>
  <c r="D29" i="8"/>
  <c r="D30" i="8"/>
  <c r="D31" i="8" s="1"/>
  <c r="D32" i="8"/>
  <c r="D33" i="8" s="1"/>
</calcChain>
</file>

<file path=xl/sharedStrings.xml><?xml version="1.0" encoding="utf-8"?>
<sst xmlns="http://schemas.openxmlformats.org/spreadsheetml/2006/main" count="484" uniqueCount="285">
  <si>
    <t>Coal</t>
  </si>
  <si>
    <t>Wind</t>
  </si>
  <si>
    <t>Solar</t>
  </si>
  <si>
    <t>Variable O&amp;M ($/MWh)</t>
  </si>
  <si>
    <t>Carbon price</t>
  </si>
  <si>
    <t>Fuel</t>
  </si>
  <si>
    <t>MWh to GJ conversion</t>
  </si>
  <si>
    <t xml:space="preserve">Moose Jaw </t>
  </si>
  <si>
    <t>Great Plains Power Station</t>
  </si>
  <si>
    <t>Year Commissioned</t>
  </si>
  <si>
    <t>Cost ($Millions)</t>
  </si>
  <si>
    <t>Capacity (MW)</t>
  </si>
  <si>
    <t>$/kw</t>
  </si>
  <si>
    <t>Bekevar Wind Farm</t>
  </si>
  <si>
    <t>North of Moose Mountain Park</t>
  </si>
  <si>
    <t>Iyuhána Solar facility</t>
  </si>
  <si>
    <t>Name</t>
  </si>
  <si>
    <t>Location</t>
  </si>
  <si>
    <t>Estevan</t>
  </si>
  <si>
    <t>Technology</t>
  </si>
  <si>
    <t>Gas Combined Cycle (Gas CC)</t>
  </si>
  <si>
    <t>Link</t>
  </si>
  <si>
    <t>https://www.theglobeandmail.com/business/article-as-construction-of-first-small-modular-reactor-looms-prospective/?login=true</t>
  </si>
  <si>
    <t>Aspen Power Plant</t>
  </si>
  <si>
    <t>Lanigan</t>
  </si>
  <si>
    <t>https://www.theglobeandmail.com/business/article-saskatchewan-budgets-900-million-to-refurbish-coal-plants-says-no-gas/</t>
  </si>
  <si>
    <t xml:space="preserve">https://www.world-nuclear-news.org/articles/what-is-the-budget-for-canadas-first-smr-project </t>
  </si>
  <si>
    <t>Unit</t>
  </si>
  <si>
    <t>Unit Rebuild Year</t>
  </si>
  <si>
    <t>In service</t>
  </si>
  <si>
    <t>$/kilowatt</t>
  </si>
  <si>
    <t>Age</t>
  </si>
  <si>
    <t>BD6</t>
  </si>
  <si>
    <t>PR2</t>
  </si>
  <si>
    <t>PR1</t>
  </si>
  <si>
    <t>SH1</t>
  </si>
  <si>
    <t>BD3</t>
  </si>
  <si>
    <t>1969/2014</t>
  </si>
  <si>
    <t>CCS</t>
  </si>
  <si>
    <t>BD5</t>
  </si>
  <si>
    <t>BD4</t>
  </si>
  <si>
    <t>Year</t>
  </si>
  <si>
    <t>Statistic</t>
  </si>
  <si>
    <t>Lignite coal SK</t>
  </si>
  <si>
    <t>kg CO2/tonne</t>
  </si>
  <si>
    <t>https://data-donnees.az.ec.gc.ca/api/file?path=%2Fsubstances%2Fmonitor%2Fcanada-s-official-greenhouse-gas-inventory%2FD-Emission-Factors%2FEN_Annex6_Emission_Factors.pdf</t>
  </si>
  <si>
    <t>Coronach</t>
  </si>
  <si>
    <t>Heat value (MJ/tonne)</t>
  </si>
  <si>
    <t>Efficiency</t>
  </si>
  <si>
    <t>Heat values from SaskPower's response to the Rate Review Panel</t>
  </si>
  <si>
    <t>MJ required/GWh</t>
  </si>
  <si>
    <t>Efficiency assumed is typical for older sub-critical coal-fired power plant</t>
  </si>
  <si>
    <t>Coal required (tonnes)/GWh</t>
  </si>
  <si>
    <t>GHG intensity CO2 tonnes/GWh</t>
  </si>
  <si>
    <t>Scenario 1 - Keep coal running</t>
  </si>
  <si>
    <t>Capital cost ($/kw)</t>
  </si>
  <si>
    <t>Capital cost ($B)</t>
  </si>
  <si>
    <t>Fuel cost ($B)</t>
  </si>
  <si>
    <t>Capacity factor</t>
  </si>
  <si>
    <t>MWh/year generated per MW</t>
  </si>
  <si>
    <t>Fuel efficiency</t>
  </si>
  <si>
    <t>Fuel used (GJ) per year</t>
  </si>
  <si>
    <t>Fuel cost ($/GJ)</t>
  </si>
  <si>
    <t>Fuel used (MWh) per year per MW</t>
  </si>
  <si>
    <t>Fuel used (MWh) by fleet per year</t>
  </si>
  <si>
    <t>Lifetime</t>
  </si>
  <si>
    <t>Transmission cost ($B)</t>
  </si>
  <si>
    <t>MWh generated over the lifetime (MWh)</t>
  </si>
  <si>
    <t>Emissions intensity (tonnes CO2/GWh)</t>
  </si>
  <si>
    <t>GHG emissions (Mt CO2)</t>
  </si>
  <si>
    <t>GWh generated over the lifetime (GWh)</t>
  </si>
  <si>
    <t>Annual emissions (Mt CO2)</t>
  </si>
  <si>
    <t>Total cost ($B)</t>
  </si>
  <si>
    <t>Levelized cost ($/MWh)</t>
  </si>
  <si>
    <t>Emissions cost ($B) over lifetime</t>
  </si>
  <si>
    <t>Scenario 2 - Gas + Renewables</t>
  </si>
  <si>
    <t>Gas</t>
  </si>
  <si>
    <t>Fixed O&amp;M ($/MW/year)</t>
  </si>
  <si>
    <t>MWh generated by fleet per year</t>
  </si>
  <si>
    <t>Fixed O&amp;M ($B)</t>
  </si>
  <si>
    <t>Fleet fixed O&amp;M per year</t>
  </si>
  <si>
    <t>Total</t>
  </si>
  <si>
    <t>-</t>
  </si>
  <si>
    <t>Variable O&amp;M cost ($B)</t>
  </si>
  <si>
    <t>Variable O&amp;M ($/year)</t>
  </si>
  <si>
    <t>Total cost ($B) with carbon costs</t>
  </si>
  <si>
    <t>2022-23</t>
  </si>
  <si>
    <t>2021-22</t>
  </si>
  <si>
    <t>2023-24</t>
  </si>
  <si>
    <t>Gas fuel cost ($M)</t>
  </si>
  <si>
    <t>Coal fuel cost ($M)</t>
  </si>
  <si>
    <t>2024-25</t>
  </si>
  <si>
    <t>Imports ($M)</t>
  </si>
  <si>
    <t>Wind ($M)</t>
  </si>
  <si>
    <t>Hydro</t>
  </si>
  <si>
    <t>Hydro ($M)</t>
  </si>
  <si>
    <t>Solar ($M)</t>
  </si>
  <si>
    <t>Electricity (GWh)</t>
  </si>
  <si>
    <t>Imports</t>
  </si>
  <si>
    <t>Fuel cost ($/MWh)</t>
  </si>
  <si>
    <t>GWh generatedby fleet per year (GWh)</t>
  </si>
  <si>
    <t>Capacity Factor (%)</t>
  </si>
  <si>
    <t>$B cheaper</t>
  </si>
  <si>
    <t>Mt/year</t>
  </si>
  <si>
    <t>$B/year carbon charge</t>
  </si>
  <si>
    <t>Scenario 3 - Gas + Renewables (Gas @ $8/GJ, 370 MW @ $2.5B)</t>
  </si>
  <si>
    <t>1 Coal Refurb</t>
  </si>
  <si>
    <t>2 Gas-CC + Renew</t>
  </si>
  <si>
    <t>Cost of Gas Plant</t>
  </si>
  <si>
    <t>$1.7B for 370 MW</t>
  </si>
  <si>
    <t>$2.5B for 370 MW</t>
  </si>
  <si>
    <t>3 Gas-CC + Renew</t>
  </si>
  <si>
    <t>4 Gas-SC + Renew</t>
  </si>
  <si>
    <t>Gas price ($/GJ)</t>
  </si>
  <si>
    <t>Capital + O&amp;M</t>
  </si>
  <si>
    <t>Transmission</t>
  </si>
  <si>
    <t>Average cost ($/MWh)</t>
  </si>
  <si>
    <t>Savings relative to coal ($B)</t>
  </si>
  <si>
    <t>Savings per year ($M)</t>
  </si>
  <si>
    <t>Electricity total (GWh)</t>
  </si>
  <si>
    <t>GHG total (Mt CO2)</t>
  </si>
  <si>
    <t>Sources:</t>
  </si>
  <si>
    <t>SaskPower Annual Report 2021-22</t>
  </si>
  <si>
    <t>SaskPower Annual Report 2024-25</t>
  </si>
  <si>
    <t>tonnes/GWh effectively</t>
  </si>
  <si>
    <t>Running 100% capacity factor</t>
  </si>
  <si>
    <t>tonnes of CO2</t>
  </si>
  <si>
    <t>Running 52% capacity factor tonnes of CO2</t>
  </si>
  <si>
    <t>regulated limit</t>
  </si>
  <si>
    <t>regulated capacity factor</t>
  </si>
  <si>
    <t>CO2 (Annual)</t>
  </si>
  <si>
    <t>Approximate GHG intensity</t>
  </si>
  <si>
    <t>Gas /Coal   intensity</t>
  </si>
  <si>
    <t>2021-2024</t>
  </si>
  <si>
    <t>Natural gas used (m3) per year</t>
  </si>
  <si>
    <t>GJ to m3 conversion (heat rate 0.03950 GJ/m3)</t>
  </si>
  <si>
    <t>https://www.canada.ca/en/environment-climate-change/services/climate-change/pricing-pollution-how-it-will-work/output-based-pricing-system/federal-greenhouse-gas-offset-system/emission-factors-reference-values.html</t>
  </si>
  <si>
    <t>Emissions in gas</t>
  </si>
  <si>
    <t>Emissions intensity of natural gas (g CO2/m3)</t>
  </si>
  <si>
    <t>Emissions from gas (tonnes CO2)</t>
  </si>
  <si>
    <t>Btu/kWh</t>
  </si>
  <si>
    <t>Combined-cycle</t>
  </si>
  <si>
    <t>btu in 1 kwh</t>
  </si>
  <si>
    <t>Combustion turbine</t>
  </si>
  <si>
    <t>https://www.eia.gov/outlooks/aeo/assumptions/pdf/EMM_Assumptions.pdf</t>
  </si>
  <si>
    <t>Source:</t>
  </si>
  <si>
    <t>Combustion turbine - single-shaft</t>
  </si>
  <si>
    <t>First available year</t>
  </si>
  <si>
    <t>Size (MW)</t>
  </si>
  <si>
    <t>Lead time (years)</t>
  </si>
  <si>
    <t>Base overnight cost ($2025/kW)</t>
  </si>
  <si>
    <t>Technological optimism factor</t>
  </si>
  <si>
    <t>Total overnight cost (2025$/kW)</t>
  </si>
  <si>
    <t>Heat rate (Btu/kWh)</t>
  </si>
  <si>
    <t>Fixed O&amp;M (2025$/ kWy)</t>
  </si>
  <si>
    <t>Variable O&amp;M (2025$/ MWh)</t>
  </si>
  <si>
    <t>Combustion turbine - industrial frame</t>
  </si>
  <si>
    <t>Nuclear - small modular reactor</t>
  </si>
  <si>
    <t>Nuclear - light water reactor</t>
  </si>
  <si>
    <t>Solar PV with tracking</t>
  </si>
  <si>
    <t>USD to CAD Exchange Rate</t>
  </si>
  <si>
    <t>Exchange rate in April 2026: https://www.bankofcanada.ca/rates/exchange/monthly-exchange-rates/</t>
  </si>
  <si>
    <t>Scenario</t>
  </si>
  <si>
    <t>Emissions compiled from GHGRP with Saskatchewan electricity facilities coded as either fueled by coal or natural gas</t>
  </si>
  <si>
    <t>https://data-donnees.az.ec.gc.ca/api/file?path=%2Fsubstances%2Fmonitor%2Fgreenhouse-gas-reporting-program-ghgrp-facility-greenhouse-gas-ghg-data%2FPDGES-GHGRP-GHGEmissionsGES-2004-Present.csv</t>
  </si>
  <si>
    <t>OBPS allowance on coal</t>
  </si>
  <si>
    <t>Carbon pricing schedule: https://www.canada.ca/en/environment-climate-change/services/climate-change/pricing-pollution-how-it-will-work/carbon-pollution-pricing-federal-benchmark-information.html</t>
  </si>
  <si>
    <t>Coal emissions intensity</t>
  </si>
  <si>
    <t>Coal emissions (Mt)</t>
  </si>
  <si>
    <t>Priced emissions</t>
  </si>
  <si>
    <t>Cost ($M)</t>
  </si>
  <si>
    <t>$Million</t>
  </si>
  <si>
    <t>$Billion</t>
  </si>
  <si>
    <t>Coal-fired emissions allowance from Output-Based Pricing System Regulations, SOR/2019-266.</t>
  </si>
  <si>
    <t>Inflation rate</t>
  </si>
  <si>
    <t>Cost ($M) ($2026)</t>
  </si>
  <si>
    <t>OBPS allowance on gas</t>
  </si>
  <si>
    <t>Scenario 2 &amp; 3 emissions (Mt)</t>
  </si>
  <si>
    <t>Gas emissions intensity (S1 &amp; S2)</t>
  </si>
  <si>
    <t>Average cost with carbon pricing ($/MWh)</t>
  </si>
  <si>
    <t>Gas emissions intensity (S3)</t>
  </si>
  <si>
    <t>Scenario 4 emissions (Mt)</t>
  </si>
  <si>
    <t>Mt CO2e</t>
  </si>
  <si>
    <t>Costs without carbon pricing</t>
  </si>
  <si>
    <t>Average cost with carbon pricing (cents/kwh)</t>
  </si>
  <si>
    <t>Average cost (cents/kWh)</t>
  </si>
  <si>
    <t>Carbon pricing cost (2026 - 2049 cumulative)</t>
  </si>
  <si>
    <t>Costs with carbon pricing and OBPS for coal set at 370 tonnes/GWh 2030-2049</t>
  </si>
  <si>
    <t>Costs with carbon pricing if OBPS set to 0 tonnes/GWh 2031-2049</t>
  </si>
  <si>
    <t>Electricity Generation and GHG Emission Details for Saskatchewan</t>
  </si>
  <si>
    <t>2019</t>
  </si>
  <si>
    <t>2020</t>
  </si>
  <si>
    <t>2021</t>
  </si>
  <si>
    <t>2022</t>
  </si>
  <si>
    <t>2023</t>
  </si>
  <si>
    <r>
      <t>2024</t>
    </r>
    <r>
      <rPr>
        <b/>
        <vertAlign val="superscript"/>
        <sz val="11"/>
        <rFont val="Aptos Narrow"/>
        <family val="2"/>
        <scheme val="minor"/>
      </rPr>
      <t>a</t>
    </r>
  </si>
  <si>
    <r>
      <t>Greenhouse Gas Emissions</t>
    </r>
    <r>
      <rPr>
        <b/>
        <vertAlign val="superscript"/>
        <sz val="11"/>
        <rFont val="Aptos Narrow"/>
        <family val="2"/>
        <scheme val="minor"/>
      </rPr>
      <t>b</t>
    </r>
  </si>
  <si>
    <r>
      <t>kt CO</t>
    </r>
    <r>
      <rPr>
        <i/>
        <vertAlign val="subscript"/>
        <sz val="11"/>
        <rFont val="Aptos Narrow"/>
        <family val="2"/>
        <scheme val="minor"/>
      </rPr>
      <t>2</t>
    </r>
    <r>
      <rPr>
        <i/>
        <sz val="11"/>
        <rFont val="Aptos Narrow"/>
        <family val="2"/>
        <scheme val="minor"/>
      </rPr>
      <t xml:space="preserve"> equivalent</t>
    </r>
  </si>
  <si>
    <t>Combustion</t>
  </si>
  <si>
    <t>x</t>
  </si>
  <si>
    <t>Natural Gas</t>
  </si>
  <si>
    <r>
      <t>Other Fuels</t>
    </r>
    <r>
      <rPr>
        <i/>
        <vertAlign val="superscript"/>
        <sz val="11"/>
        <rFont val="Aptos Narrow"/>
        <family val="2"/>
        <scheme val="minor"/>
      </rPr>
      <t>c</t>
    </r>
  </si>
  <si>
    <r>
      <t>Other Emissions</t>
    </r>
    <r>
      <rPr>
        <b/>
        <vertAlign val="superscript"/>
        <sz val="11"/>
        <rFont val="Aptos Narrow"/>
        <family val="2"/>
        <scheme val="minor"/>
      </rPr>
      <t>d</t>
    </r>
  </si>
  <si>
    <r>
      <t>Overall Total</t>
    </r>
    <r>
      <rPr>
        <b/>
        <vertAlign val="superscript"/>
        <sz val="11"/>
        <rFont val="Aptos Narrow"/>
        <family val="2"/>
        <scheme val="minor"/>
      </rPr>
      <t>e,f,g</t>
    </r>
  </si>
  <si>
    <r>
      <t>Electricity Generation</t>
    </r>
    <r>
      <rPr>
        <b/>
        <vertAlign val="superscript"/>
        <sz val="11"/>
        <rFont val="Aptos Narrow"/>
        <family val="2"/>
        <scheme val="minor"/>
      </rPr>
      <t>h,i</t>
    </r>
  </si>
  <si>
    <t>GWh</t>
  </si>
  <si>
    <r>
      <t>Combustion</t>
    </r>
    <r>
      <rPr>
        <b/>
        <vertAlign val="superscript"/>
        <sz val="11"/>
        <rFont val="Aptos Narrow"/>
        <family val="2"/>
        <scheme val="minor"/>
      </rPr>
      <t>j</t>
    </r>
  </si>
  <si>
    <t>Other Fuels</t>
  </si>
  <si>
    <t>Nuclear</t>
  </si>
  <si>
    <r>
      <t>Other Renewables</t>
    </r>
    <r>
      <rPr>
        <b/>
        <vertAlign val="superscript"/>
        <sz val="11"/>
        <rFont val="Aptos Narrow"/>
        <family val="2"/>
        <scheme val="minor"/>
      </rPr>
      <t>k</t>
    </r>
  </si>
  <si>
    <r>
      <t>Other Generation</t>
    </r>
    <r>
      <rPr>
        <b/>
        <vertAlign val="superscript"/>
        <sz val="11"/>
        <rFont val="Aptos Narrow"/>
        <family val="2"/>
        <scheme val="minor"/>
      </rPr>
      <t>l,m</t>
    </r>
  </si>
  <si>
    <r>
      <t>Overall Total</t>
    </r>
    <r>
      <rPr>
        <b/>
        <vertAlign val="superscript"/>
        <sz val="11"/>
        <rFont val="Aptos Narrow"/>
        <family val="2"/>
        <scheme val="minor"/>
      </rPr>
      <t>f</t>
    </r>
  </si>
  <si>
    <r>
      <t>Greenhouse Gas Intensity</t>
    </r>
    <r>
      <rPr>
        <b/>
        <vertAlign val="superscript"/>
        <sz val="11"/>
        <rFont val="Aptos Narrow"/>
        <family val="2"/>
        <scheme val="minor"/>
      </rPr>
      <t>n</t>
    </r>
  </si>
  <si>
    <t>Generation Intensity (g GHG / kWh electricity generated)</t>
  </si>
  <si>
    <r>
      <t>CO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intensity (g CO</t>
    </r>
    <r>
      <rPr>
        <vertAlign val="subscript"/>
        <sz val="11"/>
        <rFont val="Aptos Narrow"/>
        <family val="2"/>
        <scheme val="minor"/>
      </rPr>
      <t xml:space="preserve">2 </t>
    </r>
    <r>
      <rPr>
        <sz val="11"/>
        <rFont val="Aptos Narrow"/>
        <family val="2"/>
        <scheme val="minor"/>
      </rPr>
      <t>/ kWh)</t>
    </r>
  </si>
  <si>
    <r>
      <t>CH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 xml:space="preserve"> intensity (g CH</t>
    </r>
    <r>
      <rPr>
        <vertAlign val="subscript"/>
        <sz val="11"/>
        <rFont val="Aptos Narrow"/>
        <family val="2"/>
        <scheme val="minor"/>
      </rPr>
      <t xml:space="preserve">4 </t>
    </r>
    <r>
      <rPr>
        <sz val="11"/>
        <rFont val="Aptos Narrow"/>
        <family val="2"/>
        <scheme val="minor"/>
      </rPr>
      <t>/ kWh)</t>
    </r>
  </si>
  <si>
    <r>
      <t>N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O intensity (g N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O / kWh)</t>
    </r>
  </si>
  <si>
    <r>
      <t>Generation Intensity (g CO</t>
    </r>
    <r>
      <rPr>
        <b/>
        <vertAlign val="subscript"/>
        <sz val="11"/>
        <rFont val="Aptos Narrow"/>
        <family val="2"/>
        <scheme val="minor"/>
      </rPr>
      <t xml:space="preserve">2 </t>
    </r>
    <r>
      <rPr>
        <b/>
        <sz val="11"/>
        <rFont val="Aptos Narrow"/>
        <family val="2"/>
        <scheme val="minor"/>
      </rPr>
      <t>eq / kWh)</t>
    </r>
    <r>
      <rPr>
        <b/>
        <vertAlign val="superscript"/>
        <sz val="11"/>
        <rFont val="Aptos Narrow"/>
        <family val="2"/>
        <scheme val="minor"/>
      </rPr>
      <t>f</t>
    </r>
  </si>
  <si>
    <t>Losses</t>
  </si>
  <si>
    <r>
      <t>Unallocated Energy (GWh)</t>
    </r>
    <r>
      <rPr>
        <vertAlign val="superscript"/>
        <sz val="11"/>
        <rFont val="Aptos Narrow"/>
        <family val="2"/>
        <scheme val="minor"/>
      </rPr>
      <t>o,p</t>
    </r>
  </si>
  <si>
    <r>
      <t>SF</t>
    </r>
    <r>
      <rPr>
        <vertAlign val="subscript"/>
        <sz val="11"/>
        <rFont val="Aptos Narrow"/>
        <family val="2"/>
        <scheme val="minor"/>
      </rPr>
      <t>6</t>
    </r>
    <r>
      <rPr>
        <sz val="11"/>
        <rFont val="Aptos Narrow"/>
        <family val="2"/>
        <scheme val="minor"/>
      </rPr>
      <t xml:space="preserve"> Emissions (kt CO</t>
    </r>
    <r>
      <rPr>
        <vertAlign val="subscript"/>
        <sz val="11"/>
        <rFont val="Aptos Narrow"/>
        <family val="2"/>
        <scheme val="minor"/>
      </rPr>
      <t xml:space="preserve">2 </t>
    </r>
    <r>
      <rPr>
        <sz val="11"/>
        <rFont val="Aptos Narrow"/>
        <family val="2"/>
        <scheme val="minor"/>
      </rPr>
      <t>eq)</t>
    </r>
    <r>
      <rPr>
        <vertAlign val="superscript"/>
        <sz val="11"/>
        <rFont val="Aptos Narrow"/>
        <family val="2"/>
        <scheme val="minor"/>
      </rPr>
      <t>q</t>
    </r>
  </si>
  <si>
    <t>Consumption Intensity (g GHG / kWh electricity consumed)</t>
  </si>
  <si>
    <r>
      <t>Consumption Intensity (g CO</t>
    </r>
    <r>
      <rPr>
        <b/>
        <vertAlign val="subscript"/>
        <sz val="11"/>
        <rFont val="Aptos Narrow"/>
        <family val="2"/>
        <scheme val="minor"/>
      </rPr>
      <t>2</t>
    </r>
    <r>
      <rPr>
        <b/>
        <sz val="11"/>
        <rFont val="Aptos Narrow"/>
        <family val="2"/>
        <scheme val="minor"/>
      </rPr>
      <t xml:space="preserve"> eq / kWh)</t>
    </r>
    <r>
      <rPr>
        <b/>
        <vertAlign val="superscript"/>
        <sz val="11"/>
        <rFont val="Aptos Narrow"/>
        <family val="2"/>
        <scheme val="minor"/>
      </rPr>
      <t>r</t>
    </r>
  </si>
  <si>
    <t>Notes:</t>
  </si>
  <si>
    <t>Data presented include emissions, generation and intensity for facilities classified under NAICS code 22111 - Electric Power Generation.</t>
  </si>
  <si>
    <t>a. Preliminary data.</t>
  </si>
  <si>
    <r>
      <t xml:space="preserve">b. Emissions based on data taken from the </t>
    </r>
    <r>
      <rPr>
        <i/>
        <sz val="11"/>
        <rFont val="Aptos Narrow"/>
        <family val="2"/>
        <scheme val="minor"/>
      </rPr>
      <t>Report on Energy Supply-Demand in Canada</t>
    </r>
    <r>
      <rPr>
        <sz val="11"/>
        <rFont val="Aptos Narrow"/>
        <family val="2"/>
        <scheme val="minor"/>
      </rPr>
      <t>, Catalogue No. 57-003-XIB, Statistics Canada.</t>
    </r>
  </si>
  <si>
    <t>c. Includes GHG emissions from the combustion of refined petroleum products (light fuel oil, heavy fuel oil, and diesel), petroleum coke,</t>
  </si>
  <si>
    <t>still gas and other fuels not easily categorized.</t>
  </si>
  <si>
    <t xml:space="preserve">d. GHG emissions from on-site combustion of fuel not directly related to electricity generation. </t>
  </si>
  <si>
    <t>e. GHG emissions from the flooding of land for hydro dams are not included.</t>
  </si>
  <si>
    <t>f. Totals may not add up to overall total due to rounding.</t>
  </si>
  <si>
    <r>
      <t>g. CO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from carbon capture and storage has been removed from the total.</t>
    </r>
  </si>
  <si>
    <t>h. Taken from StatCan Data Tables 25-10-0019-01 (2005-2019), 25-10-0084-01 (2020-2024), and 25-10-0020-01 (2005-2024).</t>
  </si>
  <si>
    <r>
      <t xml:space="preserve">i. Taken from the </t>
    </r>
    <r>
      <rPr>
        <i/>
        <sz val="11"/>
        <rFont val="Aptos Narrow"/>
        <family val="2"/>
        <scheme val="minor"/>
      </rPr>
      <t xml:space="preserve">Electric Power Generation, Transmission and Distribution </t>
    </r>
    <r>
      <rPr>
        <sz val="11"/>
        <rFont val="Aptos Narrow"/>
        <family val="2"/>
        <scheme val="minor"/>
      </rPr>
      <t>(EPGTD) publication, Catalogue No. 57-202-XIB, Statistics Canada (for 1990-2004).</t>
    </r>
  </si>
  <si>
    <t xml:space="preserve">j. From 2014 onward, this includes most of the electricity generated from the by-product steam associated with the fuel combustion. Prior to 2014, it was not possible </t>
  </si>
  <si>
    <t>to break this data into the original fuel source, so it was included in Other Generation.</t>
  </si>
  <si>
    <t>k. Other Renewables - includes electricity generation by wind, tidal and solar.</t>
  </si>
  <si>
    <t>l. NAICS category 221119, Other Electric Power Generation.</t>
  </si>
  <si>
    <t xml:space="preserve">m. Prior to 2014, this includes electricity generation from steam from waste heat. From 2014 onward, most of the electricity generation from steam from waste heat is reported </t>
  </si>
  <si>
    <t>as part of its original fuel source.</t>
  </si>
  <si>
    <t>n. Intensity values have been rounded to reflect the estimated level of accuracy.</t>
  </si>
  <si>
    <t>o. Adapted from StatCan Data Table 25-10-0021-001 (2005-2024), Cat. No. 57-202-XIB (1990-2004) or regional electricity system operators.</t>
  </si>
  <si>
    <t>p. Includes transmission line losses, metering differences and other losses.</t>
  </si>
  <si>
    <r>
      <t>q. The electric utility sector's share of emissions from electrical equipment from CRT Category 2.F.viii (Production and Consumption of Halocarbons and SF</t>
    </r>
    <r>
      <rPr>
        <vertAlign val="subscript"/>
        <sz val="11"/>
        <rFont val="Aptos Narrow"/>
        <family val="2"/>
        <scheme val="minor"/>
      </rPr>
      <t>6</t>
    </r>
    <r>
      <rPr>
        <sz val="11"/>
        <rFont val="Aptos Narrow"/>
        <family val="2"/>
        <scheme val="minor"/>
      </rPr>
      <t>).</t>
    </r>
  </si>
  <si>
    <r>
      <t>r. Consumption intensity values are impacted by unallocated energy and SF</t>
    </r>
    <r>
      <rPr>
        <vertAlign val="subscript"/>
        <sz val="11"/>
        <rFont val="Aptos Narrow"/>
        <family val="2"/>
        <scheme val="minor"/>
      </rPr>
      <t xml:space="preserve">6 </t>
    </r>
    <r>
      <rPr>
        <sz val="11"/>
        <rFont val="Aptos Narrow"/>
        <family val="2"/>
        <scheme val="minor"/>
      </rPr>
      <t xml:space="preserve">transmission emissions. </t>
    </r>
  </si>
  <si>
    <t>–   Indicates no emissions or no electricity generation</t>
  </si>
  <si>
    <t>x   Indicates data not shown due to statistical limitations</t>
  </si>
  <si>
    <t>Location of coal</t>
  </si>
  <si>
    <t>Coal emissions (kt CO2e)</t>
  </si>
  <si>
    <t>Coal generation (GWh)</t>
  </si>
  <si>
    <t>Gas emissions (kt CO2e)</t>
  </si>
  <si>
    <t>2024</t>
  </si>
  <si>
    <t>Gas generation (GWh)</t>
  </si>
  <si>
    <t>Gas emissions intensity (Mt CO2e/GWh)</t>
  </si>
  <si>
    <t>Coal emissions intensity (Mt CO2e/GWh)</t>
  </si>
  <si>
    <t>Data from Table A7-9 from the National Inventory Report (NIR) published by Environment and Climate Change Canada (ECCC)</t>
  </si>
  <si>
    <t>https://data-donnees.az.ec.gc.ca/api/file?path=%2Fsubstances%2Fmonitor%2Fcanada-s-official-greenhouse-gas-inventory%2FC-Tables-Electricity-Canada-Provinces-Territories%2FEN_Annex7_Electricity_Intensity.xlsx</t>
  </si>
  <si>
    <t>https://www.sasktoday.ca/southeast/local-news/grand-opening-held-for-bekevar-yotin-wind-project-9859841</t>
  </si>
  <si>
    <t>https://tribalbusinessnews.com/sections/energy/14587-first-nations-community-launches-200m-solar-project-that-will-be-one-of-canada-s-largest</t>
  </si>
  <si>
    <t>https://saskratereview.ca/storage/593/01KKM0BHATXEX2B6X2G7V4121Q.pdf</t>
  </si>
  <si>
    <t>Data from SaskPower response to the Saskatchewan Rate Review Panel March 13, 2026</t>
  </si>
  <si>
    <t>SaskPower coal refurbishment</t>
  </si>
  <si>
    <t>Coal fired power plants</t>
  </si>
  <si>
    <t>Estevan and Coronach</t>
  </si>
  <si>
    <t>2026-2035</t>
  </si>
  <si>
    <t>https://www.cbc.ca/news/canada/saskatchewan/sask-saskpower-coal-refurbishment-9.7198807</t>
  </si>
  <si>
    <t>(Assume it is in the $11.4B)</t>
  </si>
  <si>
    <t>(Assume it is in the $11.4B and $13.0B)</t>
  </si>
  <si>
    <t>Brandon gas plants</t>
  </si>
  <si>
    <t>Simple cycle gas plants</t>
  </si>
  <si>
    <t>Brandon MB</t>
  </si>
  <si>
    <t>https://www.pubmanitoba.ca/v1/proceedings-decisions/orders/pubs/26-orders/43-26-revised.pdf</t>
  </si>
  <si>
    <t>$680M for 250 MW</t>
  </si>
  <si>
    <t>Scenario 4 - Simple Cycle Gas + Extra Renewables (Gas @ $3/GJ, 250 MW @ $680M)</t>
  </si>
  <si>
    <t>Fuel used for 25 years (GJ)</t>
  </si>
  <si>
    <t>Fuel used for 25 years (m3)</t>
  </si>
  <si>
    <t>Carbon pricing cost (2026 - 2050 cumulative)</t>
  </si>
  <si>
    <t>Total cost with federal carbon pricing</t>
  </si>
  <si>
    <t>Cost relative to coal refurbishment</t>
  </si>
  <si>
    <t>Ontario Power Generation SMR</t>
  </si>
  <si>
    <t>Nuclear SMR first unit</t>
  </si>
  <si>
    <t>Nuclear SMR fourth unit</t>
  </si>
  <si>
    <t>Nuclear SMR whole project</t>
  </si>
  <si>
    <t>Ontario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</si>
</sst>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&quot;$&quot;#,##0.00"/>
    <numFmt numFmtId="169" formatCode="_(* #,##0.00000_);_(* \(#,##0.00000\);_(* &quot;-&quot;??_);_(@_)"/>
    <numFmt numFmtId="170" formatCode="_-* #,##0_-;\-* #,##0_-;_-* &quot;-&quot;??_-;_-@_-"/>
    <numFmt numFmtId="171" formatCode="0.0%"/>
    <numFmt numFmtId="172" formatCode="&quot;$&quot;#,##0.0"/>
    <numFmt numFmtId="173" formatCode="#\ ##0"/>
    <numFmt numFmtId="174" formatCode="&quot;x&quot;"/>
    <numFmt numFmtId="175" formatCode="#.0"/>
    <numFmt numFmtId="176" formatCode="&quot;–&quot;"/>
    <numFmt numFmtId="177" formatCode="0.#0"/>
    <numFmt numFmtId="178" formatCode="0.#"/>
    <numFmt numFmtId="179" formatCode="0;\(\-0\)"/>
    <numFmt numFmtId="180" formatCode="0.000;\(\-0.000\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Times New Roman"/>
      <family val="1"/>
    </font>
    <font>
      <b/>
      <vertAlign val="superscript"/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vertAlign val="subscript"/>
      <sz val="11"/>
      <name val="Aptos Narrow"/>
      <family val="2"/>
      <scheme val="minor"/>
    </font>
    <font>
      <i/>
      <vertAlign val="superscript"/>
      <sz val="11"/>
      <name val="Aptos Narrow"/>
      <family val="2"/>
      <scheme val="minor"/>
    </font>
    <font>
      <vertAlign val="subscript"/>
      <sz val="11"/>
      <name val="Aptos Narrow"/>
      <family val="2"/>
      <scheme val="minor"/>
    </font>
    <font>
      <b/>
      <vertAlign val="subscript"/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7" fillId="0" borderId="0"/>
  </cellStyleXfs>
  <cellXfs count="161">
    <xf numFmtId="0" fontId="0" fillId="0" borderId="0" xfId="0"/>
    <xf numFmtId="1" fontId="0" fillId="0" borderId="0" xfId="0" applyNumberFormat="1"/>
    <xf numFmtId="164" fontId="0" fillId="0" borderId="0" xfId="1" applyNumberFormat="1" applyFont="1"/>
    <xf numFmtId="0" fontId="2" fillId="0" borderId="0" xfId="2"/>
    <xf numFmtId="0" fontId="3" fillId="0" borderId="0" xfId="0" applyFont="1"/>
    <xf numFmtId="164" fontId="0" fillId="0" borderId="0" xfId="0" applyNumberFormat="1"/>
    <xf numFmtId="0" fontId="0" fillId="2" borderId="0" xfId="0" applyFill="1"/>
    <xf numFmtId="0" fontId="0" fillId="0" borderId="0" xfId="0" applyAlignment="1">
      <alignment horizontal="center" wrapText="1"/>
    </xf>
    <xf numFmtId="164" fontId="0" fillId="2" borderId="0" xfId="1" applyNumberFormat="1" applyFont="1" applyFill="1"/>
    <xf numFmtId="9" fontId="0" fillId="2" borderId="0" xfId="4" applyFont="1" applyFill="1"/>
    <xf numFmtId="165" fontId="0" fillId="0" borderId="0" xfId="3" applyNumberFormat="1" applyFont="1"/>
    <xf numFmtId="1" fontId="0" fillId="0" borderId="0" xfId="4" applyNumberFormat="1" applyFont="1"/>
    <xf numFmtId="1" fontId="3" fillId="0" borderId="0" xfId="4" applyNumberFormat="1" applyFont="1"/>
    <xf numFmtId="9" fontId="0" fillId="0" borderId="0" xfId="0" applyNumberFormat="1"/>
    <xf numFmtId="2" fontId="0" fillId="0" borderId="0" xfId="0" applyNumberFormat="1"/>
    <xf numFmtId="166" fontId="0" fillId="0" borderId="0" xfId="0" applyNumberFormat="1"/>
    <xf numFmtId="1" fontId="0" fillId="0" borderId="0" xfId="3" applyNumberFormat="1" applyFont="1"/>
    <xf numFmtId="9" fontId="0" fillId="0" borderId="0" xfId="4" applyFont="1"/>
    <xf numFmtId="168" fontId="0" fillId="0" borderId="0" xfId="0" applyNumberFormat="1"/>
    <xf numFmtId="166" fontId="3" fillId="0" borderId="0" xfId="0" applyNumberFormat="1" applyFont="1"/>
    <xf numFmtId="2" fontId="3" fillId="0" borderId="0" xfId="0" applyNumberFormat="1" applyFont="1"/>
    <xf numFmtId="167" fontId="3" fillId="0" borderId="0" xfId="3" applyNumberFormat="1" applyFont="1"/>
    <xf numFmtId="165" fontId="0" fillId="0" borderId="0" xfId="0" applyNumberFormat="1"/>
    <xf numFmtId="169" fontId="0" fillId="0" borderId="0" xfId="3" applyNumberFormat="1" applyFont="1"/>
    <xf numFmtId="0" fontId="0" fillId="4" borderId="0" xfId="0" applyFill="1"/>
    <xf numFmtId="170" fontId="0" fillId="4" borderId="0" xfId="0" applyNumberFormat="1" applyFill="1"/>
    <xf numFmtId="171" fontId="0" fillId="0" borderId="0" xfId="4" applyNumberFormat="1" applyFont="1"/>
    <xf numFmtId="168" fontId="0" fillId="0" borderId="0" xfId="1" applyNumberFormat="1" applyFont="1"/>
    <xf numFmtId="0" fontId="3" fillId="0" borderId="0" xfId="0" applyFont="1" applyAlignment="1">
      <alignment wrapText="1"/>
    </xf>
    <xf numFmtId="166" fontId="0" fillId="5" borderId="0" xfId="0" applyNumberFormat="1" applyFill="1"/>
    <xf numFmtId="167" fontId="0" fillId="5" borderId="0" xfId="3" applyNumberFormat="1" applyFont="1" applyFill="1"/>
    <xf numFmtId="0" fontId="5" fillId="0" borderId="0" xfId="5" applyFont="1"/>
    <xf numFmtId="0" fontId="6" fillId="0" borderId="0" xfId="5" applyFont="1"/>
    <xf numFmtId="0" fontId="5" fillId="0" borderId="0" xfId="5" applyFont="1" applyAlignment="1">
      <alignment horizontal="center"/>
    </xf>
    <xf numFmtId="0" fontId="6" fillId="6" borderId="0" xfId="5" applyFont="1" applyFill="1"/>
    <xf numFmtId="0" fontId="6" fillId="0" borderId="0" xfId="6" applyFont="1"/>
    <xf numFmtId="0" fontId="5" fillId="6" borderId="0" xfId="5" applyFont="1" applyFill="1"/>
    <xf numFmtId="0" fontId="5" fillId="6" borderId="0" xfId="7" applyFont="1" applyFill="1"/>
    <xf numFmtId="0" fontId="6" fillId="6" borderId="0" xfId="7" applyFont="1" applyFill="1" applyAlignment="1">
      <alignment horizontal="right"/>
    </xf>
    <xf numFmtId="0" fontId="6" fillId="6" borderId="0" xfId="7" quotePrefix="1" applyFont="1" applyFill="1" applyAlignment="1">
      <alignment horizontal="right"/>
    </xf>
    <xf numFmtId="0" fontId="6" fillId="6" borderId="0" xfId="7" applyFont="1" applyFill="1"/>
    <xf numFmtId="0" fontId="6" fillId="7" borderId="0" xfId="7" applyFont="1" applyFill="1" applyAlignment="1">
      <alignment horizontal="centerContinuous"/>
    </xf>
    <xf numFmtId="0" fontId="6" fillId="0" borderId="0" xfId="6" applyFont="1" applyAlignment="1">
      <alignment horizontal="centerContinuous"/>
    </xf>
    <xf numFmtId="0" fontId="7" fillId="0" borderId="0" xfId="6" applyAlignment="1">
      <alignment horizontal="centerContinuous"/>
    </xf>
    <xf numFmtId="0" fontId="6" fillId="7" borderId="6" xfId="7" applyFont="1" applyFill="1" applyBorder="1"/>
    <xf numFmtId="0" fontId="9" fillId="7" borderId="0" xfId="7" applyFont="1" applyFill="1" applyAlignment="1">
      <alignment horizontal="centerContinuous"/>
    </xf>
    <xf numFmtId="173" fontId="6" fillId="6" borderId="5" xfId="7" applyNumberFormat="1" applyFont="1" applyFill="1" applyBorder="1" applyAlignment="1">
      <alignment horizontal="right"/>
    </xf>
    <xf numFmtId="173" fontId="6" fillId="0" borderId="5" xfId="7" applyNumberFormat="1" applyFont="1" applyBorder="1" applyAlignment="1">
      <alignment horizontal="right"/>
    </xf>
    <xf numFmtId="173" fontId="6" fillId="8" borderId="5" xfId="7" applyNumberFormat="1" applyFont="1" applyFill="1" applyBorder="1" applyAlignment="1">
      <alignment horizontal="right"/>
    </xf>
    <xf numFmtId="0" fontId="7" fillId="0" borderId="0" xfId="6"/>
    <xf numFmtId="3" fontId="5" fillId="0" borderId="0" xfId="5" applyNumberFormat="1" applyFont="1" applyAlignment="1">
      <alignment horizontal="center"/>
    </xf>
    <xf numFmtId="0" fontId="9" fillId="6" borderId="0" xfId="8" applyFont="1" applyFill="1" applyAlignment="1">
      <alignment horizontal="left" indent="1"/>
    </xf>
    <xf numFmtId="174" fontId="5" fillId="6" borderId="0" xfId="7" applyNumberFormat="1" applyFont="1" applyFill="1" applyAlignment="1">
      <alignment horizontal="right"/>
    </xf>
    <xf numFmtId="173" fontId="5" fillId="6" borderId="0" xfId="7" applyNumberFormat="1" applyFont="1" applyFill="1" applyAlignment="1">
      <alignment horizontal="right"/>
    </xf>
    <xf numFmtId="173" fontId="5" fillId="0" borderId="0" xfId="7" applyNumberFormat="1" applyFont="1" applyAlignment="1">
      <alignment horizontal="right"/>
    </xf>
    <xf numFmtId="173" fontId="5" fillId="8" borderId="0" xfId="7" applyNumberFormat="1" applyFont="1" applyFill="1" applyAlignment="1">
      <alignment horizontal="right"/>
    </xf>
    <xf numFmtId="0" fontId="9" fillId="6" borderId="0" xfId="7" applyFont="1" applyFill="1" applyAlignment="1">
      <alignment horizontal="left" indent="1"/>
    </xf>
    <xf numFmtId="175" fontId="5" fillId="6" borderId="0" xfId="7" applyNumberFormat="1" applyFont="1" applyFill="1" applyAlignment="1">
      <alignment horizontal="right"/>
    </xf>
    <xf numFmtId="1" fontId="5" fillId="6" borderId="0" xfId="7" applyNumberFormat="1" applyFont="1" applyFill="1" applyAlignment="1">
      <alignment horizontal="right"/>
    </xf>
    <xf numFmtId="1" fontId="5" fillId="0" borderId="0" xfId="7" applyNumberFormat="1" applyFont="1" applyAlignment="1">
      <alignment horizontal="right"/>
    </xf>
    <xf numFmtId="175" fontId="5" fillId="0" borderId="0" xfId="7" applyNumberFormat="1" applyFont="1" applyAlignment="1">
      <alignment horizontal="right"/>
    </xf>
    <xf numFmtId="175" fontId="5" fillId="8" borderId="0" xfId="7" applyNumberFormat="1" applyFont="1" applyFill="1" applyAlignment="1">
      <alignment horizontal="right"/>
    </xf>
    <xf numFmtId="0" fontId="6" fillId="6" borderId="0" xfId="8" applyFont="1" applyFill="1" applyAlignment="1">
      <alignment horizontal="left"/>
    </xf>
    <xf numFmtId="176" fontId="6" fillId="6" borderId="0" xfId="7" applyNumberFormat="1" applyFont="1" applyFill="1" applyAlignment="1">
      <alignment horizontal="right"/>
    </xf>
    <xf numFmtId="173" fontId="6" fillId="6" borderId="0" xfId="7" applyNumberFormat="1" applyFont="1" applyFill="1" applyAlignment="1">
      <alignment horizontal="right"/>
    </xf>
    <xf numFmtId="173" fontId="6" fillId="0" borderId="0" xfId="7" applyNumberFormat="1" applyFont="1" applyAlignment="1">
      <alignment horizontal="right"/>
    </xf>
    <xf numFmtId="173" fontId="6" fillId="8" borderId="0" xfId="7" applyNumberFormat="1" applyFont="1" applyFill="1" applyAlignment="1">
      <alignment horizontal="right"/>
    </xf>
    <xf numFmtId="0" fontId="6" fillId="7" borderId="7" xfId="9" applyFont="1" applyFill="1" applyBorder="1"/>
    <xf numFmtId="173" fontId="6" fillId="6" borderId="7" xfId="7" applyNumberFormat="1" applyFont="1" applyFill="1" applyBorder="1" applyAlignment="1">
      <alignment horizontal="right"/>
    </xf>
    <xf numFmtId="173" fontId="6" fillId="0" borderId="7" xfId="7" applyNumberFormat="1" applyFont="1" applyBorder="1" applyAlignment="1">
      <alignment horizontal="right"/>
    </xf>
    <xf numFmtId="173" fontId="6" fillId="8" borderId="7" xfId="7" applyNumberFormat="1" applyFont="1" applyFill="1" applyBorder="1" applyAlignment="1">
      <alignment horizontal="right"/>
    </xf>
    <xf numFmtId="1" fontId="5" fillId="0" borderId="0" xfId="5" applyNumberFormat="1" applyFont="1"/>
    <xf numFmtId="0" fontId="5" fillId="0" borderId="0" xfId="7" applyFont="1"/>
    <xf numFmtId="1" fontId="5" fillId="6" borderId="0" xfId="7" applyNumberFormat="1" applyFont="1" applyFill="1"/>
    <xf numFmtId="0" fontId="5" fillId="6" borderId="0" xfId="7" applyFont="1" applyFill="1" applyAlignment="1">
      <alignment horizontal="center"/>
    </xf>
    <xf numFmtId="0" fontId="5" fillId="7" borderId="0" xfId="7" applyFont="1" applyFill="1" applyAlignment="1">
      <alignment horizontal="center"/>
    </xf>
    <xf numFmtId="0" fontId="5" fillId="0" borderId="0" xfId="7" applyFont="1" applyAlignment="1">
      <alignment horizontal="center"/>
    </xf>
    <xf numFmtId="0" fontId="9" fillId="0" borderId="0" xfId="7" applyFont="1" applyAlignment="1">
      <alignment horizontal="centerContinuous"/>
    </xf>
    <xf numFmtId="0" fontId="6" fillId="6" borderId="0" xfId="8" applyFont="1" applyFill="1"/>
    <xf numFmtId="0" fontId="9" fillId="7" borderId="0" xfId="10" applyFont="1" applyFill="1" applyAlignment="1">
      <alignment horizontal="left" indent="1"/>
    </xf>
    <xf numFmtId="166" fontId="5" fillId="6" borderId="0" xfId="7" applyNumberFormat="1" applyFont="1" applyFill="1" applyAlignment="1">
      <alignment horizontal="right"/>
    </xf>
    <xf numFmtId="2" fontId="5" fillId="6" borderId="0" xfId="7" applyNumberFormat="1" applyFont="1" applyFill="1" applyAlignment="1">
      <alignment horizontal="right"/>
    </xf>
    <xf numFmtId="177" fontId="5" fillId="6" borderId="0" xfId="7" applyNumberFormat="1" applyFont="1" applyFill="1" applyAlignment="1">
      <alignment horizontal="right"/>
    </xf>
    <xf numFmtId="177" fontId="5" fillId="0" borderId="0" xfId="7" applyNumberFormat="1" applyFont="1" applyAlignment="1">
      <alignment horizontal="right"/>
    </xf>
    <xf numFmtId="177" fontId="5" fillId="8" borderId="0" xfId="7" applyNumberFormat="1" applyFont="1" applyFill="1" applyAlignment="1">
      <alignment horizontal="right"/>
    </xf>
    <xf numFmtId="0" fontId="6" fillId="7" borderId="0" xfId="10" applyFont="1" applyFill="1"/>
    <xf numFmtId="176" fontId="6" fillId="0" borderId="0" xfId="7" applyNumberFormat="1" applyFont="1" applyAlignment="1">
      <alignment horizontal="right"/>
    </xf>
    <xf numFmtId="176" fontId="6" fillId="8" borderId="0" xfId="7" applyNumberFormat="1" applyFont="1" applyFill="1" applyAlignment="1">
      <alignment horizontal="right"/>
    </xf>
    <xf numFmtId="3" fontId="5" fillId="0" borderId="0" xfId="5" applyNumberFormat="1" applyFont="1"/>
    <xf numFmtId="0" fontId="6" fillId="0" borderId="0" xfId="5" applyFont="1" applyAlignment="1">
      <alignment horizontal="centerContinuous"/>
    </xf>
    <xf numFmtId="0" fontId="5" fillId="0" borderId="0" xfId="5" applyFont="1" applyAlignment="1">
      <alignment horizontal="centerContinuous"/>
    </xf>
    <xf numFmtId="0" fontId="9" fillId="0" borderId="0" xfId="5" applyFont="1" applyAlignment="1">
      <alignment horizontal="centerContinuous"/>
    </xf>
    <xf numFmtId="176" fontId="6" fillId="6" borderId="6" xfId="7" applyNumberFormat="1" applyFont="1" applyFill="1" applyBorder="1" applyAlignment="1">
      <alignment horizontal="right"/>
    </xf>
    <xf numFmtId="173" fontId="6" fillId="6" borderId="6" xfId="7" applyNumberFormat="1" applyFont="1" applyFill="1" applyBorder="1" applyAlignment="1">
      <alignment horizontal="right"/>
    </xf>
    <xf numFmtId="1" fontId="6" fillId="6" borderId="6" xfId="7" applyNumberFormat="1" applyFont="1" applyFill="1" applyBorder="1" applyAlignment="1">
      <alignment horizontal="right"/>
    </xf>
    <xf numFmtId="1" fontId="6" fillId="8" borderId="6" xfId="7" applyNumberFormat="1" applyFont="1" applyFill="1" applyBorder="1" applyAlignment="1">
      <alignment horizontal="right"/>
    </xf>
    <xf numFmtId="0" fontId="6" fillId="0" borderId="7" xfId="11" applyFont="1" applyBorder="1"/>
    <xf numFmtId="0" fontId="5" fillId="6" borderId="0" xfId="11" applyFont="1" applyFill="1"/>
    <xf numFmtId="3" fontId="5" fillId="6" borderId="0" xfId="7" applyNumberFormat="1" applyFont="1" applyFill="1"/>
    <xf numFmtId="0" fontId="5" fillId="6" borderId="5" xfId="11" applyFont="1" applyFill="1" applyBorder="1" applyAlignment="1">
      <alignment horizontal="left"/>
    </xf>
    <xf numFmtId="173" fontId="5" fillId="6" borderId="5" xfId="7" applyNumberFormat="1" applyFont="1" applyFill="1" applyBorder="1" applyAlignment="1">
      <alignment horizontal="right"/>
    </xf>
    <xf numFmtId="173" fontId="5" fillId="0" borderId="5" xfId="7" applyNumberFormat="1" applyFont="1" applyBorder="1" applyAlignment="1">
      <alignment horizontal="right"/>
    </xf>
    <xf numFmtId="173" fontId="5" fillId="8" borderId="5" xfId="7" applyNumberFormat="1" applyFont="1" applyFill="1" applyBorder="1" applyAlignment="1">
      <alignment horizontal="right"/>
    </xf>
    <xf numFmtId="0" fontId="5" fillId="6" borderId="0" xfId="11" applyFont="1" applyFill="1" applyAlignment="1">
      <alignment horizontal="left"/>
    </xf>
    <xf numFmtId="2" fontId="6" fillId="0" borderId="0" xfId="12" applyNumberFormat="1" applyFont="1" applyFill="1" applyBorder="1"/>
    <xf numFmtId="0" fontId="6" fillId="6" borderId="7" xfId="11" applyFont="1" applyFill="1" applyBorder="1" applyAlignment="1">
      <alignment horizontal="left"/>
    </xf>
    <xf numFmtId="166" fontId="6" fillId="0" borderId="0" xfId="12" applyNumberFormat="1" applyFont="1" applyFill="1" applyBorder="1"/>
    <xf numFmtId="0" fontId="5" fillId="6" borderId="5" xfId="11" applyFont="1" applyFill="1" applyBorder="1"/>
    <xf numFmtId="1" fontId="6" fillId="0" borderId="0" xfId="5" applyNumberFormat="1" applyFont="1" applyAlignment="1">
      <alignment horizontal="center"/>
    </xf>
    <xf numFmtId="0" fontId="5" fillId="6" borderId="6" xfId="11" applyFont="1" applyFill="1" applyBorder="1"/>
    <xf numFmtId="175" fontId="5" fillId="6" borderId="6" xfId="7" applyNumberFormat="1" applyFont="1" applyFill="1" applyBorder="1" applyAlignment="1">
      <alignment horizontal="right"/>
    </xf>
    <xf numFmtId="178" fontId="5" fillId="6" borderId="6" xfId="7" applyNumberFormat="1" applyFont="1" applyFill="1" applyBorder="1" applyAlignment="1">
      <alignment horizontal="right"/>
    </xf>
    <xf numFmtId="177" fontId="5" fillId="6" borderId="6" xfId="7" applyNumberFormat="1" applyFont="1" applyFill="1" applyBorder="1" applyAlignment="1">
      <alignment horizontal="right"/>
    </xf>
    <xf numFmtId="177" fontId="5" fillId="0" borderId="6" xfId="7" applyNumberFormat="1" applyFont="1" applyBorder="1" applyAlignment="1">
      <alignment horizontal="right"/>
    </xf>
    <xf numFmtId="178" fontId="5" fillId="8" borderId="6" xfId="7" applyNumberFormat="1" applyFont="1" applyFill="1" applyBorder="1" applyAlignment="1">
      <alignment horizontal="right"/>
    </xf>
    <xf numFmtId="0" fontId="6" fillId="6" borderId="7" xfId="11" applyFont="1" applyFill="1" applyBorder="1"/>
    <xf numFmtId="0" fontId="6" fillId="6" borderId="0" xfId="11" applyFont="1" applyFill="1"/>
    <xf numFmtId="0" fontId="5" fillId="6" borderId="0" xfId="13" applyFont="1" applyFill="1"/>
    <xf numFmtId="0" fontId="5" fillId="0" borderId="0" xfId="11" applyFont="1"/>
    <xf numFmtId="0" fontId="5" fillId="6" borderId="0" xfId="8" applyFont="1" applyFill="1"/>
    <xf numFmtId="0" fontId="5" fillId="6" borderId="0" xfId="5" quotePrefix="1" applyFont="1" applyFill="1"/>
    <xf numFmtId="0" fontId="5" fillId="6" borderId="0" xfId="5" applyFont="1" applyFill="1" applyAlignment="1">
      <alignment horizontal="center"/>
    </xf>
    <xf numFmtId="0" fontId="5" fillId="6" borderId="0" xfId="5" applyFont="1" applyFill="1" applyAlignment="1">
      <alignment vertical="top"/>
    </xf>
    <xf numFmtId="0" fontId="5" fillId="0" borderId="0" xfId="5" applyFont="1" applyAlignment="1">
      <alignment vertical="top"/>
    </xf>
    <xf numFmtId="179" fontId="5" fillId="6" borderId="0" xfId="5" applyNumberFormat="1" applyFont="1" applyFill="1" applyAlignment="1">
      <alignment vertical="top"/>
    </xf>
    <xf numFmtId="179" fontId="5" fillId="0" borderId="0" xfId="5" applyNumberFormat="1" applyFont="1" applyAlignment="1">
      <alignment vertical="top"/>
    </xf>
    <xf numFmtId="180" fontId="5" fillId="6" borderId="0" xfId="5" applyNumberFormat="1" applyFont="1" applyFill="1" applyAlignment="1">
      <alignment vertical="top"/>
    </xf>
    <xf numFmtId="180" fontId="5" fillId="0" borderId="0" xfId="5" applyNumberFormat="1" applyFont="1" applyAlignment="1">
      <alignment vertical="top"/>
    </xf>
    <xf numFmtId="0" fontId="0" fillId="9" borderId="0" xfId="0" applyFill="1"/>
    <xf numFmtId="1" fontId="0" fillId="9" borderId="0" xfId="0" applyNumberFormat="1" applyFill="1"/>
    <xf numFmtId="8" fontId="3" fillId="3" borderId="0" xfId="0" applyNumberFormat="1" applyFont="1" applyFill="1"/>
    <xf numFmtId="166" fontId="0" fillId="0" borderId="0" xfId="0" applyNumberFormat="1" applyAlignment="1">
      <alignment horizontal="right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8" fontId="16" fillId="0" borderId="1" xfId="0" applyNumberFormat="1" applyFont="1" applyBorder="1"/>
    <xf numFmtId="172" fontId="16" fillId="0" borderId="1" xfId="0" applyNumberFormat="1" applyFont="1" applyBorder="1"/>
    <xf numFmtId="9" fontId="15" fillId="2" borderId="1" xfId="4" applyFont="1" applyFill="1" applyBorder="1"/>
    <xf numFmtId="172" fontId="16" fillId="0" borderId="1" xfId="4" applyNumberFormat="1" applyFont="1" applyBorder="1"/>
    <xf numFmtId="164" fontId="16" fillId="0" borderId="1" xfId="4" applyNumberFormat="1" applyFont="1" applyBorder="1"/>
    <xf numFmtId="165" fontId="16" fillId="0" borderId="1" xfId="3" applyNumberFormat="1" applyFont="1" applyBorder="1"/>
    <xf numFmtId="0" fontId="16" fillId="0" borderId="2" xfId="0" applyFont="1" applyBorder="1"/>
    <xf numFmtId="2" fontId="15" fillId="0" borderId="1" xfId="0" applyNumberFormat="1" applyFont="1" applyBorder="1"/>
    <xf numFmtId="0" fontId="16" fillId="0" borderId="0" xfId="0" applyFont="1"/>
    <xf numFmtId="2" fontId="15" fillId="0" borderId="0" xfId="0" applyNumberFormat="1" applyFont="1"/>
    <xf numFmtId="0" fontId="16" fillId="0" borderId="3" xfId="0" applyFont="1" applyBorder="1"/>
    <xf numFmtId="1" fontId="16" fillId="0" borderId="3" xfId="0" applyNumberFormat="1" applyFont="1" applyBorder="1"/>
    <xf numFmtId="168" fontId="15" fillId="0" borderId="1" xfId="0" applyNumberFormat="1" applyFont="1" applyBorder="1"/>
    <xf numFmtId="43" fontId="15" fillId="0" borderId="2" xfId="0" applyNumberFormat="1" applyFont="1" applyBorder="1"/>
    <xf numFmtId="0" fontId="16" fillId="0" borderId="5" xfId="0" applyFont="1" applyBorder="1"/>
    <xf numFmtId="43" fontId="15" fillId="0" borderId="5" xfId="0" applyNumberFormat="1" applyFont="1" applyBorder="1"/>
    <xf numFmtId="43" fontId="15" fillId="0" borderId="1" xfId="0" applyNumberFormat="1" applyFont="1" applyBorder="1"/>
    <xf numFmtId="0" fontId="15" fillId="0" borderId="1" xfId="0" applyFont="1" applyBorder="1" applyAlignment="1">
      <alignment horizontal="center" wrapText="1"/>
    </xf>
    <xf numFmtId="0" fontId="15" fillId="0" borderId="1" xfId="0" applyFont="1" applyBorder="1"/>
    <xf numFmtId="0" fontId="16" fillId="0" borderId="1" xfId="0" applyFont="1" applyBorder="1"/>
    <xf numFmtId="0" fontId="15" fillId="0" borderId="4" xfId="0" applyFont="1" applyBorder="1"/>
    <xf numFmtId="0" fontId="16" fillId="0" borderId="4" xfId="0" applyFont="1" applyBorder="1"/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14">
    <cellStyle name="Comma" xfId="3" builtinId="3"/>
    <cellStyle name="Currency" xfId="1" builtinId="4"/>
    <cellStyle name="Hyperlink" xfId="2" builtinId="8"/>
    <cellStyle name="Normal" xfId="0" builtinId="0"/>
    <cellStyle name="Normal 11 2 2" xfId="9" xr:uid="{60959738-A8AE-489E-82C1-A65E4EA6A6AE}"/>
    <cellStyle name="Normal 13" xfId="13" xr:uid="{BEA13087-3BC6-432D-8FB3-3DB9DA7F5058}"/>
    <cellStyle name="Normal 16" xfId="7" xr:uid="{1EDA8D74-D4A7-4FC5-927C-E32E8AAFF089}"/>
    <cellStyle name="Normal 2" xfId="6" xr:uid="{8D77735D-6857-4F71-BEAD-8DEBB41282D0}"/>
    <cellStyle name="Normal 2 2" xfId="8" xr:uid="{D0B0FCCB-4345-499A-84D2-463B92BD6B90}"/>
    <cellStyle name="Normal 2 2 2" xfId="10" xr:uid="{15C06882-44D4-47E7-9115-CF8B83FE1B6F}"/>
    <cellStyle name="Normal 2_A8-22" xfId="5" xr:uid="{8CD47AD6-79E0-4BA0-95AB-385800151F5A}"/>
    <cellStyle name="Normal 9 2 2" xfId="11" xr:uid="{83550D64-D49A-4D42-B9D1-DFAA67D4E9C3}"/>
    <cellStyle name="Percent" xfId="4" builtinId="5"/>
    <cellStyle name="Percent 2" xfId="12" xr:uid="{295AB266-1067-4A6C-A2F0-DCBC5F8AF4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orld-nuclear-news.org/articles/what-is-the-budget-for-canadas-first-smr-project" TargetMode="External"/><Relationship Id="rId2" Type="http://schemas.openxmlformats.org/officeDocument/2006/relationships/hyperlink" Target="https://www.cbc.ca/news/canada/saskatchewan/sask-saskpower-coal-refurbishment-9.7198807" TargetMode="External"/><Relationship Id="rId1" Type="http://schemas.openxmlformats.org/officeDocument/2006/relationships/hyperlink" Target="https://www.world-nuclear-news.org/articles/what-is-the-budget-for-canadas-first-smr-project" TargetMode="External"/><Relationship Id="rId4" Type="http://schemas.openxmlformats.org/officeDocument/2006/relationships/hyperlink" Target="https://www.world-nuclear-news.org/articles/what-is-the-budget-for-canadas-first-smr-project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-donnees.az.ec.gc.ca/api/file?path=%2Fsubstances%2Fmonitor%2Fcanada-s-official-greenhouse-gas-inventory%2FD-Emission-Factors%2FEN_Annex6_Emission_Factors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50A1-8F03-4A84-B0D7-67F349D49D81}">
  <dimension ref="A1:E33"/>
  <sheetViews>
    <sheetView workbookViewId="0">
      <selection activeCell="H3" sqref="H3"/>
    </sheetView>
  </sheetViews>
  <sheetFormatPr defaultRowHeight="14.4" x14ac:dyDescent="0.3"/>
  <cols>
    <col min="1" max="1" width="40.6640625" customWidth="1"/>
    <col min="2" max="5" width="9.77734375" customWidth="1"/>
  </cols>
  <sheetData>
    <row r="1" spans="1:5" x14ac:dyDescent="0.3">
      <c r="A1" s="159" t="s">
        <v>183</v>
      </c>
      <c r="B1" s="157" t="s">
        <v>162</v>
      </c>
      <c r="C1" s="158"/>
      <c r="D1" s="158"/>
      <c r="E1" s="158"/>
    </row>
    <row r="2" spans="1:5" ht="42" x14ac:dyDescent="0.3">
      <c r="A2" s="160"/>
      <c r="B2" s="152" t="s">
        <v>106</v>
      </c>
      <c r="C2" s="152" t="s">
        <v>107</v>
      </c>
      <c r="D2" s="152" t="s">
        <v>111</v>
      </c>
      <c r="E2" s="152" t="s">
        <v>112</v>
      </c>
    </row>
    <row r="3" spans="1:5" ht="42" x14ac:dyDescent="0.3">
      <c r="A3" s="132" t="s">
        <v>108</v>
      </c>
      <c r="B3" s="133" t="s">
        <v>82</v>
      </c>
      <c r="C3" s="134" t="s">
        <v>109</v>
      </c>
      <c r="D3" s="134" t="s">
        <v>110</v>
      </c>
      <c r="E3" s="134" t="s">
        <v>273</v>
      </c>
    </row>
    <row r="4" spans="1:5" x14ac:dyDescent="0.3">
      <c r="A4" s="132" t="s">
        <v>113</v>
      </c>
      <c r="B4" s="132"/>
      <c r="C4" s="135">
        <v>3</v>
      </c>
      <c r="D4" s="135">
        <f>'Scenario calculation'!J28</f>
        <v>8</v>
      </c>
      <c r="E4" s="135">
        <v>3</v>
      </c>
    </row>
    <row r="5" spans="1:5" x14ac:dyDescent="0.3">
      <c r="A5" s="132" t="s">
        <v>114</v>
      </c>
      <c r="B5" s="136">
        <f>'Scenario calculation'!B5</f>
        <v>11.4</v>
      </c>
      <c r="C5" s="136">
        <f>'Scenario calculation'!G5+'Scenario calculation'!G6+'Scenario calculation'!G8</f>
        <v>12.209798061689</v>
      </c>
      <c r="D5" s="136">
        <f>'Scenario calculation'!M5+'Scenario calculation'!M6+'Scenario calculation'!M8</f>
        <v>15.409798061688999</v>
      </c>
      <c r="E5" s="136">
        <f>'Scenario calculation'!S5+'Scenario calculation'!S6+'Scenario calculation'!S8</f>
        <v>11.057848435496998</v>
      </c>
    </row>
    <row r="6" spans="1:5" x14ac:dyDescent="0.3">
      <c r="A6" s="132" t="s">
        <v>5</v>
      </c>
      <c r="B6" s="136">
        <f>'Scenario calculation'!B7</f>
        <v>13</v>
      </c>
      <c r="C6" s="136">
        <f>'Scenario calculation'!G7</f>
        <v>3.3682199999999991</v>
      </c>
      <c r="D6" s="136">
        <f>'Scenario calculation'!M7</f>
        <v>8.9819199999999988</v>
      </c>
      <c r="E6" s="136">
        <f>'Scenario calculation'!S7</f>
        <v>3.9772225000000003</v>
      </c>
    </row>
    <row r="7" spans="1:5" x14ac:dyDescent="0.3">
      <c r="A7" s="132" t="s">
        <v>115</v>
      </c>
      <c r="B7" s="136">
        <f>'Scenario calculation'!B9</f>
        <v>1.4</v>
      </c>
      <c r="C7" s="136">
        <f>'Scenario calculation'!G9</f>
        <v>1.4</v>
      </c>
      <c r="D7" s="136">
        <f>'Scenario calculation'!M9</f>
        <v>1.4</v>
      </c>
      <c r="E7" s="136">
        <f>'Scenario calculation'!S9</f>
        <v>1.4</v>
      </c>
    </row>
    <row r="8" spans="1:5" x14ac:dyDescent="0.3">
      <c r="A8" s="132" t="s">
        <v>81</v>
      </c>
      <c r="B8" s="136">
        <f>SUM(B5:B7)</f>
        <v>25.799999999999997</v>
      </c>
      <c r="C8" s="136">
        <f t="shared" ref="C8:E8" si="0">SUM(C5:C7)</f>
        <v>16.978018061688999</v>
      </c>
      <c r="D8" s="136">
        <f t="shared" si="0"/>
        <v>25.791718061688996</v>
      </c>
      <c r="E8" s="136">
        <f t="shared" si="0"/>
        <v>16.435070935496999</v>
      </c>
    </row>
    <row r="9" spans="1:5" x14ac:dyDescent="0.3">
      <c r="A9" s="132" t="s">
        <v>279</v>
      </c>
      <c r="B9" s="137">
        <f>B8/$B$8</f>
        <v>1</v>
      </c>
      <c r="C9" s="137">
        <f t="shared" ref="C9:E9" si="1">C8/$B$8</f>
        <v>0.65806271556934115</v>
      </c>
      <c r="D9" s="137">
        <f t="shared" si="1"/>
        <v>0.99967899463910848</v>
      </c>
      <c r="E9" s="137">
        <f t="shared" si="1"/>
        <v>0.63701825331383721</v>
      </c>
    </row>
    <row r="10" spans="1:5" x14ac:dyDescent="0.3">
      <c r="A10" s="132" t="s">
        <v>117</v>
      </c>
      <c r="B10" s="138">
        <f>$B$8-B8</f>
        <v>0</v>
      </c>
      <c r="C10" s="138">
        <f t="shared" ref="C10:E10" si="2">$B$8-C8</f>
        <v>8.8219819383109979</v>
      </c>
      <c r="D10" s="138">
        <f t="shared" si="2"/>
        <v>8.2819383110006584E-3</v>
      </c>
      <c r="E10" s="138">
        <f t="shared" si="2"/>
        <v>9.3649290645029986</v>
      </c>
    </row>
    <row r="11" spans="1:5" x14ac:dyDescent="0.3">
      <c r="A11" s="132" t="s">
        <v>118</v>
      </c>
      <c r="B11" s="139">
        <f>B10/24*1000</f>
        <v>0</v>
      </c>
      <c r="C11" s="139">
        <f t="shared" ref="C11:E11" si="3">C10/24*1000</f>
        <v>367.58258076295823</v>
      </c>
      <c r="D11" s="139">
        <f t="shared" si="3"/>
        <v>0.34508076295836076</v>
      </c>
      <c r="E11" s="139">
        <f t="shared" si="3"/>
        <v>390.20537768762495</v>
      </c>
    </row>
    <row r="12" spans="1:5" x14ac:dyDescent="0.3">
      <c r="A12" s="132" t="s">
        <v>119</v>
      </c>
      <c r="B12" s="140">
        <f>'Scenario calculation'!B30</f>
        <v>286671</v>
      </c>
      <c r="C12" s="140">
        <f>'Scenario calculation'!G30</f>
        <v>286671</v>
      </c>
      <c r="D12" s="140">
        <f>'Scenario calculation'!M30</f>
        <v>286671</v>
      </c>
      <c r="E12" s="140">
        <f>'Scenario calculation'!S30</f>
        <v>286671</v>
      </c>
    </row>
    <row r="13" spans="1:5" x14ac:dyDescent="0.3">
      <c r="A13" s="132" t="s">
        <v>116</v>
      </c>
      <c r="B13" s="147">
        <f>'Scenario calculation'!B33</f>
        <v>89.998639555448577</v>
      </c>
      <c r="C13" s="147">
        <f>'Scenario calculation'!G33</f>
        <v>59.224749143404807</v>
      </c>
      <c r="D13" s="147">
        <f>'Scenario calculation'!M33</f>
        <v>89.969749509678323</v>
      </c>
      <c r="E13" s="147">
        <f>'Scenario calculation'!S33</f>
        <v>57.330776170233463</v>
      </c>
    </row>
    <row r="14" spans="1:5" x14ac:dyDescent="0.3">
      <c r="A14" s="132" t="s">
        <v>185</v>
      </c>
      <c r="B14" s="142">
        <f>B13/10</f>
        <v>8.999863955544857</v>
      </c>
      <c r="C14" s="142">
        <f t="shared" ref="C14:D14" si="4">C13/10</f>
        <v>5.9224749143404809</v>
      </c>
      <c r="D14" s="142">
        <f t="shared" si="4"/>
        <v>8.9969749509678323</v>
      </c>
      <c r="E14" s="142">
        <f>E13/10</f>
        <v>5.733077617023346</v>
      </c>
    </row>
    <row r="15" spans="1:5" x14ac:dyDescent="0.3">
      <c r="A15" s="143"/>
      <c r="B15" s="144"/>
      <c r="C15" s="144"/>
      <c r="D15" s="144"/>
      <c r="E15" s="144"/>
    </row>
    <row r="16" spans="1:5" s="4" customFormat="1" x14ac:dyDescent="0.3">
      <c r="A16" s="153" t="s">
        <v>187</v>
      </c>
      <c r="B16" s="154"/>
      <c r="C16" s="154"/>
      <c r="D16" s="154"/>
      <c r="E16" s="154"/>
    </row>
    <row r="17" spans="1:5" x14ac:dyDescent="0.3">
      <c r="A17" s="145" t="s">
        <v>120</v>
      </c>
      <c r="B17" s="146">
        <f>'Scenario calculation'!B38</f>
        <v>309.60467999999997</v>
      </c>
      <c r="C17" s="146">
        <f>'Scenario calculation'!D38</f>
        <v>54.573691139240502</v>
      </c>
      <c r="D17" s="146">
        <f>'Scenario calculation'!J38</f>
        <v>54.573691139240502</v>
      </c>
      <c r="E17" s="146">
        <f>'Scenario calculation'!P38</f>
        <v>64.441073417721512</v>
      </c>
    </row>
    <row r="18" spans="1:5" x14ac:dyDescent="0.3">
      <c r="A18" s="132" t="s">
        <v>277</v>
      </c>
      <c r="B18" s="136">
        <f>'Scenario calculation'!B40</f>
        <v>20.844704245811929</v>
      </c>
      <c r="C18" s="136">
        <f>'Scenario calculation'!G40</f>
        <v>5.4064239537108207</v>
      </c>
      <c r="D18" s="136">
        <f>'Scenario calculation'!M40</f>
        <v>5.4064239537108207</v>
      </c>
      <c r="E18" s="136">
        <f>'Scenario calculation'!P40</f>
        <v>6.4940212701733344</v>
      </c>
    </row>
    <row r="19" spans="1:5" x14ac:dyDescent="0.3">
      <c r="A19" s="132" t="s">
        <v>278</v>
      </c>
      <c r="B19" s="136">
        <f>B8+B18</f>
        <v>46.644704245811923</v>
      </c>
      <c r="C19" s="136">
        <f>C8+C18</f>
        <v>22.38444201539982</v>
      </c>
      <c r="D19" s="136">
        <f>D8+D18</f>
        <v>31.198142015399817</v>
      </c>
      <c r="E19" s="136">
        <f>E8+E18</f>
        <v>22.929092205670333</v>
      </c>
    </row>
    <row r="20" spans="1:5" x14ac:dyDescent="0.3">
      <c r="A20" s="132" t="s">
        <v>279</v>
      </c>
      <c r="B20" s="137">
        <f>B19/$B$19</f>
        <v>1</v>
      </c>
      <c r="C20" s="137">
        <f t="shared" ref="C20:E20" si="5">C19/$B$19</f>
        <v>0.47989246319231721</v>
      </c>
      <c r="D20" s="137">
        <f t="shared" si="5"/>
        <v>0.66884638931333773</v>
      </c>
      <c r="E20" s="137">
        <f t="shared" si="5"/>
        <v>0.49156903396443041</v>
      </c>
    </row>
    <row r="21" spans="1:5" x14ac:dyDescent="0.3">
      <c r="A21" s="132" t="s">
        <v>117</v>
      </c>
      <c r="B21" s="136">
        <f>$B$19-B19</f>
        <v>0</v>
      </c>
      <c r="C21" s="136">
        <f t="shared" ref="C21:E21" si="6">$B$19-C19</f>
        <v>24.260262230412103</v>
      </c>
      <c r="D21" s="136">
        <f t="shared" si="6"/>
        <v>15.446562230412106</v>
      </c>
      <c r="E21" s="136">
        <f t="shared" si="6"/>
        <v>23.71561204014159</v>
      </c>
    </row>
    <row r="22" spans="1:5" x14ac:dyDescent="0.3">
      <c r="A22" s="132" t="s">
        <v>118</v>
      </c>
      <c r="B22" s="139">
        <f>B21/24*1000</f>
        <v>0</v>
      </c>
      <c r="C22" s="139">
        <f t="shared" ref="C22:E22" si="7">C21/24*1000</f>
        <v>1010.8442596005043</v>
      </c>
      <c r="D22" s="139">
        <f t="shared" si="7"/>
        <v>643.60675960050435</v>
      </c>
      <c r="E22" s="139">
        <f t="shared" si="7"/>
        <v>988.15050167256629</v>
      </c>
    </row>
    <row r="23" spans="1:5" x14ac:dyDescent="0.3">
      <c r="A23" s="132" t="s">
        <v>179</v>
      </c>
      <c r="B23" s="147">
        <f>B19/B12*1000000</f>
        <v>162.71162498408253</v>
      </c>
      <c r="C23" s="147">
        <f>C19/C12*1000000</f>
        <v>78.08408250363594</v>
      </c>
      <c r="D23" s="147">
        <f>D19/D12*1000000</f>
        <v>108.82908286990947</v>
      </c>
      <c r="E23" s="147">
        <f>E19/E12*1000000</f>
        <v>79.983996308208134</v>
      </c>
    </row>
    <row r="24" spans="1:5" x14ac:dyDescent="0.3">
      <c r="A24" s="141" t="s">
        <v>184</v>
      </c>
      <c r="B24" s="148">
        <f>B23/10</f>
        <v>16.271162498408252</v>
      </c>
      <c r="C24" s="148">
        <f>C23/10</f>
        <v>7.8084082503635939</v>
      </c>
      <c r="D24" s="148">
        <f t="shared" ref="D24:E24" si="8">D23/10</f>
        <v>10.882908286990947</v>
      </c>
      <c r="E24" s="148">
        <f t="shared" si="8"/>
        <v>7.9983996308208134</v>
      </c>
    </row>
    <row r="25" spans="1:5" x14ac:dyDescent="0.3">
      <c r="A25" s="149"/>
      <c r="B25" s="150"/>
      <c r="C25" s="150"/>
      <c r="D25" s="150"/>
      <c r="E25" s="150"/>
    </row>
    <row r="26" spans="1:5" x14ac:dyDescent="0.3">
      <c r="A26" s="155" t="s">
        <v>188</v>
      </c>
      <c r="B26" s="156"/>
      <c r="C26" s="156"/>
      <c r="D26" s="156"/>
      <c r="E26" s="156"/>
    </row>
    <row r="27" spans="1:5" x14ac:dyDescent="0.3">
      <c r="A27" s="132" t="s">
        <v>186</v>
      </c>
      <c r="B27" s="136">
        <f>'Carbon price exposure'!I60</f>
        <v>28.53938716087546</v>
      </c>
      <c r="C27" s="136">
        <f>C18</f>
        <v>5.4064239537108207</v>
      </c>
      <c r="D27" s="136">
        <f t="shared" ref="D27:E27" si="9">D18</f>
        <v>5.4064239537108207</v>
      </c>
      <c r="E27" s="136">
        <f t="shared" si="9"/>
        <v>6.4940212701733344</v>
      </c>
    </row>
    <row r="28" spans="1:5" x14ac:dyDescent="0.3">
      <c r="A28" s="132" t="s">
        <v>278</v>
      </c>
      <c r="B28" s="136">
        <f>B27+B8</f>
        <v>54.339387160875461</v>
      </c>
      <c r="C28" s="136">
        <f t="shared" ref="C28:E28" si="10">C19</f>
        <v>22.38444201539982</v>
      </c>
      <c r="D28" s="136">
        <f t="shared" si="10"/>
        <v>31.198142015399817</v>
      </c>
      <c r="E28" s="136">
        <f t="shared" si="10"/>
        <v>22.929092205670333</v>
      </c>
    </row>
    <row r="29" spans="1:5" x14ac:dyDescent="0.3">
      <c r="A29" s="132" t="s">
        <v>279</v>
      </c>
      <c r="B29" s="137">
        <f>B28/$B$28</f>
        <v>1</v>
      </c>
      <c r="C29" s="137">
        <f>C28/$B$28</f>
        <v>0.41193769722005058</v>
      </c>
      <c r="D29" s="137">
        <f>D28/$B$28</f>
        <v>0.57413496260153962</v>
      </c>
      <c r="E29" s="137">
        <f>E28/$B$28</f>
        <v>0.42196081707339084</v>
      </c>
    </row>
    <row r="30" spans="1:5" x14ac:dyDescent="0.3">
      <c r="A30" s="132" t="s">
        <v>117</v>
      </c>
      <c r="B30" s="136">
        <f>$B$28-B28</f>
        <v>0</v>
      </c>
      <c r="C30" s="136">
        <f t="shared" ref="C30:E30" si="11">$B$28-C28</f>
        <v>31.954945145475641</v>
      </c>
      <c r="D30" s="136">
        <f t="shared" si="11"/>
        <v>23.141245145475644</v>
      </c>
      <c r="E30" s="136">
        <f t="shared" si="11"/>
        <v>31.410294955205128</v>
      </c>
    </row>
    <row r="31" spans="1:5" x14ac:dyDescent="0.3">
      <c r="A31" s="132" t="s">
        <v>118</v>
      </c>
      <c r="B31" s="139">
        <f>B30/24*1000</f>
        <v>0</v>
      </c>
      <c r="C31" s="139">
        <f t="shared" ref="C31:E31" si="12">C30/24*1000</f>
        <v>1331.4560477281516</v>
      </c>
      <c r="D31" s="139">
        <f t="shared" si="12"/>
        <v>964.21854772815186</v>
      </c>
      <c r="E31" s="139">
        <f t="shared" si="12"/>
        <v>1308.7622898002137</v>
      </c>
    </row>
    <row r="32" spans="1:5" x14ac:dyDescent="0.3">
      <c r="A32" s="132" t="s">
        <v>179</v>
      </c>
      <c r="B32" s="147">
        <f>B28/B12*1000000</f>
        <v>189.553136385876</v>
      </c>
      <c r="C32" s="147">
        <f t="shared" ref="C32:E32" si="13">C28/C12*1000000</f>
        <v>78.08408250363594</v>
      </c>
      <c r="D32" s="147">
        <f t="shared" si="13"/>
        <v>108.82908286990947</v>
      </c>
      <c r="E32" s="147">
        <f t="shared" si="13"/>
        <v>79.983996308208134</v>
      </c>
    </row>
    <row r="33" spans="1:5" x14ac:dyDescent="0.3">
      <c r="A33" s="132" t="s">
        <v>184</v>
      </c>
      <c r="B33" s="151">
        <f>B32/10</f>
        <v>18.955313638587601</v>
      </c>
      <c r="C33" s="151">
        <f t="shared" ref="C33:E33" si="14">C32/10</f>
        <v>7.8084082503635939</v>
      </c>
      <c r="D33" s="151">
        <f t="shared" si="14"/>
        <v>10.882908286990947</v>
      </c>
      <c r="E33" s="151">
        <f t="shared" si="14"/>
        <v>7.9983996308208134</v>
      </c>
    </row>
  </sheetData>
  <mergeCells count="4">
    <mergeCell ref="A16:E16"/>
    <mergeCell ref="A26:E26"/>
    <mergeCell ref="B1:E1"/>
    <mergeCell ref="A1:A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40DA-2E55-4AEB-A665-7AC924E5CAC6}">
  <dimension ref="A1:D25"/>
  <sheetViews>
    <sheetView topLeftCell="A7" workbookViewId="0">
      <selection activeCell="B14" sqref="B14"/>
    </sheetView>
  </sheetViews>
  <sheetFormatPr defaultRowHeight="14.4" x14ac:dyDescent="0.3"/>
  <sheetData>
    <row r="1" spans="1:4" x14ac:dyDescent="0.3">
      <c r="A1" t="s">
        <v>41</v>
      </c>
      <c r="B1" t="s">
        <v>0</v>
      </c>
      <c r="C1" t="s">
        <v>76</v>
      </c>
      <c r="D1" t="s">
        <v>81</v>
      </c>
    </row>
    <row r="2" spans="1:4" x14ac:dyDescent="0.3">
      <c r="A2">
        <v>2004</v>
      </c>
      <c r="B2">
        <v>13198500</v>
      </c>
      <c r="C2">
        <v>1891316.7350999999</v>
      </c>
      <c r="D2">
        <v>15089816.735099999</v>
      </c>
    </row>
    <row r="3" spans="1:4" x14ac:dyDescent="0.3">
      <c r="A3">
        <v>2005</v>
      </c>
      <c r="B3">
        <v>12705765.698000001</v>
      </c>
      <c r="C3">
        <v>1742095.9515</v>
      </c>
      <c r="D3">
        <v>14447861.649499999</v>
      </c>
    </row>
    <row r="4" spans="1:4" x14ac:dyDescent="0.3">
      <c r="A4">
        <v>2006</v>
      </c>
      <c r="B4">
        <v>12341537.098999999</v>
      </c>
      <c r="C4">
        <v>1822219.416</v>
      </c>
      <c r="D4">
        <v>14163756.515000001</v>
      </c>
    </row>
    <row r="5" spans="1:4" x14ac:dyDescent="0.3">
      <c r="A5">
        <v>2007</v>
      </c>
      <c r="B5">
        <v>13014863.601</v>
      </c>
      <c r="C5">
        <v>1794629.9187</v>
      </c>
      <c r="D5">
        <v>14809493.5197</v>
      </c>
    </row>
    <row r="6" spans="1:4" x14ac:dyDescent="0.3">
      <c r="A6">
        <v>2008</v>
      </c>
      <c r="B6">
        <v>12881020.399</v>
      </c>
      <c r="C6">
        <v>1944671.9808</v>
      </c>
      <c r="D6">
        <v>14825692.379799999</v>
      </c>
    </row>
    <row r="7" spans="1:4" x14ac:dyDescent="0.3">
      <c r="A7">
        <v>2009</v>
      </c>
      <c r="B7">
        <v>13708321.199999999</v>
      </c>
      <c r="C7">
        <v>1693259.0755</v>
      </c>
      <c r="D7">
        <v>15401580.2755</v>
      </c>
    </row>
    <row r="8" spans="1:4" x14ac:dyDescent="0.3">
      <c r="A8">
        <v>2010</v>
      </c>
      <c r="B8">
        <v>13392633.801999999</v>
      </c>
      <c r="C8">
        <v>1906975.4325999999</v>
      </c>
      <c r="D8">
        <v>15299609.2346</v>
      </c>
    </row>
    <row r="9" spans="1:4" x14ac:dyDescent="0.3">
      <c r="A9">
        <v>2011</v>
      </c>
      <c r="B9">
        <v>12783544.1</v>
      </c>
      <c r="C9">
        <v>2090288.7608</v>
      </c>
      <c r="D9">
        <v>14873832.8608</v>
      </c>
    </row>
    <row r="10" spans="1:4" x14ac:dyDescent="0.3">
      <c r="A10">
        <v>2012</v>
      </c>
      <c r="B10">
        <v>12962875.301999999</v>
      </c>
      <c r="C10">
        <v>2549539.78993</v>
      </c>
      <c r="D10">
        <v>15512415.09193</v>
      </c>
    </row>
    <row r="11" spans="1:4" x14ac:dyDescent="0.3">
      <c r="A11">
        <v>2013</v>
      </c>
      <c r="B11">
        <v>11900034</v>
      </c>
      <c r="C11">
        <v>3196644.7320699999</v>
      </c>
      <c r="D11">
        <v>15096678.732070001</v>
      </c>
    </row>
    <row r="12" spans="1:4" x14ac:dyDescent="0.3">
      <c r="A12">
        <v>2014</v>
      </c>
      <c r="B12">
        <v>11708710.102</v>
      </c>
      <c r="C12">
        <v>3288282.9677800001</v>
      </c>
      <c r="D12">
        <v>14996993.06978</v>
      </c>
    </row>
    <row r="13" spans="1:4" x14ac:dyDescent="0.3">
      <c r="A13">
        <v>2015</v>
      </c>
      <c r="B13">
        <v>11796036.999</v>
      </c>
      <c r="C13">
        <v>3770876.69948</v>
      </c>
      <c r="D13">
        <v>15566913.698480001</v>
      </c>
    </row>
    <row r="14" spans="1:4" x14ac:dyDescent="0.3">
      <c r="A14">
        <v>2016</v>
      </c>
      <c r="B14">
        <v>11241717.252</v>
      </c>
      <c r="C14">
        <v>4058154.0444899998</v>
      </c>
      <c r="D14">
        <v>15299871.296490001</v>
      </c>
    </row>
    <row r="15" spans="1:4" x14ac:dyDescent="0.3">
      <c r="A15">
        <v>2017</v>
      </c>
      <c r="B15">
        <v>11792302.800000001</v>
      </c>
      <c r="C15">
        <v>4163138.1981000002</v>
      </c>
      <c r="D15">
        <v>15955440.9981</v>
      </c>
    </row>
    <row r="16" spans="1:4" x14ac:dyDescent="0.3">
      <c r="A16">
        <v>2018</v>
      </c>
      <c r="B16">
        <v>10987316.605</v>
      </c>
      <c r="C16">
        <v>5099040.24</v>
      </c>
      <c r="D16">
        <v>16086356.845000001</v>
      </c>
    </row>
    <row r="17" spans="1:4" x14ac:dyDescent="0.3">
      <c r="A17">
        <v>2019</v>
      </c>
      <c r="B17">
        <v>10982478.414000001</v>
      </c>
      <c r="C17">
        <v>4824341.2901900001</v>
      </c>
      <c r="D17">
        <v>15806819.704190001</v>
      </c>
    </row>
    <row r="18" spans="1:4" x14ac:dyDescent="0.3">
      <c r="A18">
        <v>2020</v>
      </c>
      <c r="B18">
        <v>8151448.29</v>
      </c>
      <c r="C18">
        <v>4603927.4035919998</v>
      </c>
      <c r="D18">
        <v>12755375.693592001</v>
      </c>
    </row>
    <row r="19" spans="1:4" x14ac:dyDescent="0.3">
      <c r="A19">
        <v>2021</v>
      </c>
      <c r="B19">
        <v>10180186.011</v>
      </c>
      <c r="C19">
        <v>4751508.7792600002</v>
      </c>
      <c r="D19">
        <v>14931694.79026</v>
      </c>
    </row>
    <row r="20" spans="1:4" x14ac:dyDescent="0.3">
      <c r="A20">
        <v>2022</v>
      </c>
      <c r="B20">
        <v>9180474.6260000002</v>
      </c>
      <c r="C20">
        <v>4573010.725478</v>
      </c>
      <c r="D20">
        <v>13753485.351477999</v>
      </c>
    </row>
    <row r="21" spans="1:4" x14ac:dyDescent="0.3">
      <c r="A21">
        <v>2023</v>
      </c>
      <c r="B21">
        <v>8514775.7050000001</v>
      </c>
      <c r="C21">
        <v>5110627.3803690001</v>
      </c>
      <c r="D21">
        <v>13625403.085369</v>
      </c>
    </row>
    <row r="22" spans="1:4" x14ac:dyDescent="0.3">
      <c r="A22">
        <v>2024</v>
      </c>
      <c r="B22">
        <v>7413974.0209999997</v>
      </c>
      <c r="C22">
        <v>5423493.4032849995</v>
      </c>
      <c r="D22">
        <v>12837467.424285</v>
      </c>
    </row>
    <row r="24" spans="1:4" x14ac:dyDescent="0.3">
      <c r="A24" t="s">
        <v>163</v>
      </c>
    </row>
    <row r="25" spans="1:4" x14ac:dyDescent="0.3">
      <c r="A25" t="s">
        <v>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63D58-B003-4CC5-AD31-01E904F153A7}">
  <dimension ref="A1:X55"/>
  <sheetViews>
    <sheetView topLeftCell="I28" workbookViewId="0">
      <selection activeCell="S37" sqref="S37"/>
    </sheetView>
  </sheetViews>
  <sheetFormatPr defaultRowHeight="14.4" x14ac:dyDescent="0.3"/>
  <cols>
    <col min="1" max="1" width="38.33203125" customWidth="1"/>
    <col min="2" max="2" width="32.21875" customWidth="1"/>
    <col min="3" max="3" width="10.77734375" customWidth="1"/>
    <col min="4" max="4" width="16.44140625" customWidth="1"/>
    <col min="5" max="5" width="12.5546875" customWidth="1"/>
    <col min="6" max="6" width="13.88671875" bestFit="1" customWidth="1"/>
    <col min="7" max="7" width="12" customWidth="1"/>
    <col min="10" max="10" width="14.6640625" customWidth="1"/>
    <col min="11" max="11" width="12.5546875" customWidth="1"/>
    <col min="12" max="12" width="13.88671875" bestFit="1" customWidth="1"/>
    <col min="13" max="13" width="12" customWidth="1"/>
    <col min="14" max="14" width="10" customWidth="1"/>
    <col min="16" max="16" width="15.44140625" customWidth="1"/>
    <col min="17" max="17" width="12.5546875" customWidth="1"/>
    <col min="18" max="18" width="13.88671875" bestFit="1" customWidth="1"/>
    <col min="19" max="19" width="12" customWidth="1"/>
  </cols>
  <sheetData>
    <row r="1" spans="1:19" x14ac:dyDescent="0.3">
      <c r="A1" s="4" t="s">
        <v>54</v>
      </c>
      <c r="D1" s="4" t="s">
        <v>75</v>
      </c>
      <c r="J1" s="4" t="s">
        <v>105</v>
      </c>
      <c r="P1" s="4" t="s">
        <v>274</v>
      </c>
    </row>
    <row r="2" spans="1:19" x14ac:dyDescent="0.3">
      <c r="B2" s="4" t="s">
        <v>0</v>
      </c>
      <c r="D2" s="4" t="s">
        <v>76</v>
      </c>
      <c r="E2" s="4" t="s">
        <v>1</v>
      </c>
      <c r="F2" s="4" t="s">
        <v>2</v>
      </c>
      <c r="G2" s="4" t="s">
        <v>81</v>
      </c>
      <c r="J2" s="4" t="s">
        <v>76</v>
      </c>
      <c r="K2" s="4" t="s">
        <v>1</v>
      </c>
      <c r="L2" s="4" t="s">
        <v>2</v>
      </c>
      <c r="M2" s="4" t="s">
        <v>81</v>
      </c>
      <c r="P2" s="4" t="s">
        <v>76</v>
      </c>
      <c r="Q2" s="4" t="s">
        <v>1</v>
      </c>
      <c r="R2" s="4" t="s">
        <v>2</v>
      </c>
      <c r="S2" s="4" t="s">
        <v>81</v>
      </c>
    </row>
    <row r="3" spans="1:19" x14ac:dyDescent="0.3">
      <c r="A3" t="s">
        <v>11</v>
      </c>
      <c r="B3" s="1">
        <v>1540</v>
      </c>
      <c r="D3">
        <f>370*4</f>
        <v>1480</v>
      </c>
      <c r="E3">
        <v>1200</v>
      </c>
      <c r="F3">
        <v>300</v>
      </c>
      <c r="J3">
        <f>370*4</f>
        <v>1480</v>
      </c>
      <c r="K3">
        <v>1200</v>
      </c>
      <c r="L3">
        <v>300</v>
      </c>
      <c r="P3">
        <f>250*6</f>
        <v>1500</v>
      </c>
      <c r="Q3">
        <v>1500</v>
      </c>
      <c r="R3">
        <v>600</v>
      </c>
    </row>
    <row r="4" spans="1:19" x14ac:dyDescent="0.3">
      <c r="A4" t="s">
        <v>55</v>
      </c>
      <c r="B4" s="1">
        <f>B5/B3*1000000</f>
        <v>7402.5974025974028</v>
      </c>
      <c r="D4" s="1">
        <f>D5/D3*1000000</f>
        <v>4594.5945945945941</v>
      </c>
      <c r="E4">
        <f>'Capital Cost of Projects'!G4</f>
        <v>1900</v>
      </c>
      <c r="F4">
        <f>'Capital Cost of Projects'!G5</f>
        <v>2000</v>
      </c>
      <c r="J4" s="1">
        <f>J5/J3*1000000</f>
        <v>6756.7567567567576</v>
      </c>
      <c r="K4">
        <f>'Capital Cost of Projects'!G4</f>
        <v>1900</v>
      </c>
      <c r="L4">
        <f>'Capital Cost of Projects'!G5</f>
        <v>2000</v>
      </c>
      <c r="P4" s="1">
        <f>'Capital Cost of Projects'!G6</f>
        <v>2720</v>
      </c>
      <c r="Q4">
        <f>'Capital Cost of Projects'!G4</f>
        <v>1900</v>
      </c>
      <c r="R4">
        <f>'Capital Cost of Projects'!G5</f>
        <v>2000</v>
      </c>
    </row>
    <row r="5" spans="1:19" x14ac:dyDescent="0.3">
      <c r="A5" t="s">
        <v>56</v>
      </c>
      <c r="B5" s="15">
        <v>11.4</v>
      </c>
      <c r="D5">
        <f>1.7*4</f>
        <v>6.8</v>
      </c>
      <c r="E5">
        <f>E3*E4/1000000</f>
        <v>2.2799999999999998</v>
      </c>
      <c r="F5">
        <f>F3*F4/1000000</f>
        <v>0.6</v>
      </c>
      <c r="G5">
        <f>SUM(D5:F5)</f>
        <v>9.68</v>
      </c>
      <c r="J5">
        <f>2.5*4</f>
        <v>10</v>
      </c>
      <c r="K5">
        <f>K3*K4/1000000</f>
        <v>2.2799999999999998</v>
      </c>
      <c r="L5">
        <f>L3*L4/1000000</f>
        <v>0.6</v>
      </c>
      <c r="M5">
        <f>SUM(J5:L5)</f>
        <v>12.879999999999999</v>
      </c>
      <c r="P5" s="15">
        <f>P4*P3/1000000</f>
        <v>4.08</v>
      </c>
      <c r="Q5">
        <f>Q3*Q4/1000000</f>
        <v>2.85</v>
      </c>
      <c r="R5">
        <f>R3*R4/1000000</f>
        <v>1.2</v>
      </c>
      <c r="S5">
        <f>SUM(P5:R5)</f>
        <v>8.129999999999999</v>
      </c>
    </row>
    <row r="6" spans="1:19" x14ac:dyDescent="0.3">
      <c r="A6" t="s">
        <v>79</v>
      </c>
      <c r="B6" s="131" t="s">
        <v>267</v>
      </c>
      <c r="D6" s="15">
        <f>D11*D25/1000000000</f>
        <v>0.763347</v>
      </c>
      <c r="E6" s="15">
        <f>E11*E25/1000000000</f>
        <v>0.66923999999999995</v>
      </c>
      <c r="F6" s="15">
        <f>F11*F25/1000000000</f>
        <v>0.28899000000000002</v>
      </c>
      <c r="G6" s="15">
        <f>SUM(D6:F6)</f>
        <v>1.7215769999999999</v>
      </c>
      <c r="J6" s="15">
        <f>J11*J25/1000000000</f>
        <v>0.763347</v>
      </c>
      <c r="K6" s="15">
        <f>K11*K25/1000000000</f>
        <v>0.66923999999999995</v>
      </c>
      <c r="L6" s="15">
        <f>L11*L25/1000000000</f>
        <v>0.28899000000000002</v>
      </c>
      <c r="M6" s="15">
        <f>SUM(J6:L6)</f>
        <v>1.7215769999999999</v>
      </c>
      <c r="P6" s="15">
        <f>P11*P25/1000000000</f>
        <v>0.77366250000000003</v>
      </c>
      <c r="Q6" s="15">
        <f>Q11*Q25/1000000000</f>
        <v>0.83655000000000002</v>
      </c>
      <c r="R6" s="15">
        <f>R11*R25/1000000000</f>
        <v>0.57798000000000005</v>
      </c>
      <c r="S6" s="15">
        <f>SUM(P6:R6)</f>
        <v>2.1881925</v>
      </c>
    </row>
    <row r="7" spans="1:19" x14ac:dyDescent="0.3">
      <c r="A7" t="s">
        <v>57</v>
      </c>
      <c r="B7" s="15">
        <v>13</v>
      </c>
      <c r="D7" s="15">
        <f>D26*D28/1000000000</f>
        <v>3.3682199999999991</v>
      </c>
      <c r="E7">
        <v>0</v>
      </c>
      <c r="F7">
        <v>0</v>
      </c>
      <c r="G7" s="15">
        <f>SUM(D7:F7)</f>
        <v>3.3682199999999991</v>
      </c>
      <c r="J7" s="15">
        <f>J26*J28/1000000000</f>
        <v>8.9819199999999988</v>
      </c>
      <c r="K7">
        <v>0</v>
      </c>
      <c r="L7">
        <v>0</v>
      </c>
      <c r="M7" s="15">
        <f>SUM(J7:L7)</f>
        <v>8.9819199999999988</v>
      </c>
      <c r="P7" s="15">
        <f>P26*P28/1000000000</f>
        <v>3.9772225000000003</v>
      </c>
      <c r="Q7">
        <v>0</v>
      </c>
      <c r="R7">
        <v>0</v>
      </c>
      <c r="S7" s="15">
        <f>SUM(P7:R7)</f>
        <v>3.9772225000000003</v>
      </c>
    </row>
    <row r="8" spans="1:19" x14ac:dyDescent="0.3">
      <c r="A8" t="s">
        <v>83</v>
      </c>
      <c r="B8" s="131" t="s">
        <v>268</v>
      </c>
      <c r="D8" s="15">
        <f>D29*D16/1000000000</f>
        <v>0.80822106168899988</v>
      </c>
      <c r="E8">
        <v>0</v>
      </c>
      <c r="F8">
        <v>0</v>
      </c>
      <c r="G8" s="15">
        <f>SUM(D8:F8)</f>
        <v>0.80822106168899988</v>
      </c>
      <c r="J8" s="15">
        <f>J29*J16/1000000000</f>
        <v>0.80822106168899988</v>
      </c>
      <c r="K8">
        <v>0</v>
      </c>
      <c r="L8">
        <v>0</v>
      </c>
      <c r="M8" s="15">
        <f>SUM(J8:L8)</f>
        <v>0.80822106168899988</v>
      </c>
      <c r="P8" s="15">
        <f>P29*P16/1000000000</f>
        <v>0.73965593549699993</v>
      </c>
      <c r="Q8">
        <v>0</v>
      </c>
      <c r="R8">
        <v>0</v>
      </c>
      <c r="S8" s="15">
        <f>SUM(P8:R8)</f>
        <v>0.73965593549699993</v>
      </c>
    </row>
    <row r="9" spans="1:19" x14ac:dyDescent="0.3">
      <c r="A9" t="s">
        <v>66</v>
      </c>
      <c r="B9" s="15">
        <v>1.4</v>
      </c>
      <c r="D9" s="15">
        <v>1.4</v>
      </c>
      <c r="F9" s="15"/>
      <c r="G9" s="15">
        <f>SUM(D9:F9)</f>
        <v>1.4</v>
      </c>
      <c r="J9" s="15">
        <v>1.4</v>
      </c>
      <c r="L9" s="15"/>
      <c r="M9" s="15">
        <f>SUM(J9:L9)</f>
        <v>1.4</v>
      </c>
      <c r="P9" s="15">
        <v>1.4</v>
      </c>
      <c r="R9" s="15"/>
      <c r="S9" s="15">
        <f>SUM(P9:R9)</f>
        <v>1.4</v>
      </c>
    </row>
    <row r="10" spans="1:19" x14ac:dyDescent="0.3">
      <c r="A10" t="s">
        <v>77</v>
      </c>
      <c r="B10" s="15"/>
      <c r="D10" s="5">
        <v>20631</v>
      </c>
      <c r="E10" s="5">
        <v>22308</v>
      </c>
      <c r="F10" s="5">
        <v>38532</v>
      </c>
      <c r="J10" s="5">
        <v>20631</v>
      </c>
      <c r="K10" s="5">
        <v>22308</v>
      </c>
      <c r="L10" s="5">
        <v>38532</v>
      </c>
      <c r="P10" s="5">
        <v>20631</v>
      </c>
      <c r="Q10" s="5">
        <v>22308</v>
      </c>
      <c r="R10" s="5">
        <v>38532</v>
      </c>
    </row>
    <row r="11" spans="1:19" x14ac:dyDescent="0.3">
      <c r="A11" t="s">
        <v>80</v>
      </c>
      <c r="B11" s="15"/>
      <c r="D11" s="5">
        <f>D10*D3</f>
        <v>30533880</v>
      </c>
      <c r="E11" s="5">
        <f t="shared" ref="E11:F11" si="0">E10*E3</f>
        <v>26769600</v>
      </c>
      <c r="F11" s="5">
        <f t="shared" si="0"/>
        <v>11559600</v>
      </c>
      <c r="J11" s="5">
        <f>J10*J3</f>
        <v>30533880</v>
      </c>
      <c r="K11" s="5">
        <f t="shared" ref="K11:L11" si="1">K10*K3</f>
        <v>26769600</v>
      </c>
      <c r="L11" s="5">
        <f t="shared" si="1"/>
        <v>11559600</v>
      </c>
      <c r="P11" s="5">
        <f>P10*P3</f>
        <v>30946500</v>
      </c>
      <c r="Q11" s="5">
        <f t="shared" ref="Q11:R11" si="2">Q10*Q3</f>
        <v>33462000</v>
      </c>
      <c r="R11" s="5">
        <f t="shared" si="2"/>
        <v>23119200</v>
      </c>
    </row>
    <row r="12" spans="1:19" x14ac:dyDescent="0.3">
      <c r="A12" t="s">
        <v>58</v>
      </c>
      <c r="B12" s="17">
        <v>0.85</v>
      </c>
      <c r="D12" s="17">
        <f>D13/8760</f>
        <v>0.51959459459459456</v>
      </c>
      <c r="E12" s="13">
        <v>0.4</v>
      </c>
      <c r="F12" s="13">
        <v>0.2</v>
      </c>
      <c r="J12" s="17">
        <f>J13/8760</f>
        <v>0.51959459459459456</v>
      </c>
      <c r="K12" s="13">
        <v>0.4</v>
      </c>
      <c r="L12" s="13">
        <v>0.2</v>
      </c>
      <c r="P12" s="17">
        <f>P13/8760</f>
        <v>0.39266666666666666</v>
      </c>
      <c r="Q12" s="13">
        <v>0.4</v>
      </c>
      <c r="R12" s="13">
        <v>0.2</v>
      </c>
    </row>
    <row r="13" spans="1:19" x14ac:dyDescent="0.3">
      <c r="A13" t="s">
        <v>59</v>
      </c>
      <c r="B13" s="10">
        <f>B12*8760</f>
        <v>7446</v>
      </c>
      <c r="C13" s="10"/>
      <c r="D13" s="10">
        <f>D14/D3</f>
        <v>4551.6486486486483</v>
      </c>
      <c r="E13" s="10">
        <f>E12*8760</f>
        <v>3504</v>
      </c>
      <c r="F13" s="10">
        <f>F12*8760</f>
        <v>1752</v>
      </c>
      <c r="G13" s="10"/>
      <c r="H13" s="10"/>
      <c r="I13" s="10"/>
      <c r="J13" s="10">
        <f>J14/J3</f>
        <v>4551.6486486486483</v>
      </c>
      <c r="K13" s="10">
        <f>K12*8760</f>
        <v>3504</v>
      </c>
      <c r="L13" s="10">
        <f>L12*8760</f>
        <v>1752</v>
      </c>
      <c r="M13" s="10"/>
      <c r="N13" s="10"/>
      <c r="O13" s="10"/>
      <c r="P13" s="10">
        <f>P14/P3</f>
        <v>3439.76</v>
      </c>
      <c r="Q13" s="10">
        <f>Q12*8760</f>
        <v>3504</v>
      </c>
      <c r="R13" s="10">
        <f>R12*8760</f>
        <v>1752</v>
      </c>
    </row>
    <row r="14" spans="1:19" x14ac:dyDescent="0.3">
      <c r="A14" t="s">
        <v>78</v>
      </c>
      <c r="B14" s="10">
        <f>B13*B3</f>
        <v>11466840</v>
      </c>
      <c r="C14" s="10"/>
      <c r="D14" s="10">
        <f>B14-(E14+F14)</f>
        <v>6736440</v>
      </c>
      <c r="E14" s="10">
        <f>E13*E3</f>
        <v>4204800</v>
      </c>
      <c r="F14" s="10">
        <f>F13*F3</f>
        <v>525600</v>
      </c>
      <c r="G14" s="10"/>
      <c r="H14" s="10"/>
      <c r="I14" s="10"/>
      <c r="J14" s="10">
        <f>B14-(K14+L14)</f>
        <v>6736440</v>
      </c>
      <c r="K14" s="10">
        <f>K13*K3</f>
        <v>4204800</v>
      </c>
      <c r="L14" s="10">
        <f>L13*L3</f>
        <v>525600</v>
      </c>
      <c r="M14" s="10"/>
      <c r="N14" s="10"/>
      <c r="O14" s="10"/>
      <c r="P14" s="10">
        <f>B14-(Q14+R14)</f>
        <v>5159640</v>
      </c>
      <c r="Q14" s="10">
        <f>Q13*Q3</f>
        <v>5256000</v>
      </c>
      <c r="R14" s="10">
        <f>R13*R3</f>
        <v>1051200</v>
      </c>
    </row>
    <row r="15" spans="1:19" x14ac:dyDescent="0.3">
      <c r="A15" t="s">
        <v>100</v>
      </c>
      <c r="B15" s="10">
        <f>B14/1000</f>
        <v>11466.84</v>
      </c>
      <c r="C15" s="10"/>
      <c r="D15" s="10">
        <f t="shared" ref="D15:F15" si="3">D14/1000</f>
        <v>6736.44</v>
      </c>
      <c r="E15" s="10">
        <f t="shared" si="3"/>
        <v>4204.8</v>
      </c>
      <c r="F15" s="10">
        <f t="shared" si="3"/>
        <v>525.6</v>
      </c>
      <c r="G15" s="10"/>
      <c r="H15" s="10"/>
      <c r="I15" s="10"/>
      <c r="J15" s="10">
        <f t="shared" ref="J15" si="4">J14/1000</f>
        <v>6736.44</v>
      </c>
      <c r="K15" s="10">
        <f t="shared" ref="K15" si="5">K14/1000</f>
        <v>4204.8</v>
      </c>
      <c r="L15" s="10">
        <f t="shared" ref="L15" si="6">L14/1000</f>
        <v>525.6</v>
      </c>
      <c r="M15" s="10"/>
      <c r="N15" s="10"/>
      <c r="O15" s="10"/>
      <c r="P15" s="10">
        <f t="shared" ref="P15" si="7">P14/1000</f>
        <v>5159.6400000000003</v>
      </c>
      <c r="Q15" s="10">
        <f t="shared" ref="Q15" si="8">Q14/1000</f>
        <v>5256</v>
      </c>
      <c r="R15" s="10">
        <f t="shared" ref="R15" si="9">R14/1000</f>
        <v>1051.2</v>
      </c>
    </row>
    <row r="16" spans="1:19" x14ac:dyDescent="0.3">
      <c r="A16" t="s">
        <v>3</v>
      </c>
      <c r="B16" s="1"/>
      <c r="D16" s="14">
        <f>'EIA AEO 2026 costs'!H11</f>
        <v>4.799099</v>
      </c>
      <c r="E16" s="1"/>
      <c r="F16" s="1"/>
      <c r="J16" s="14">
        <f>'EIA AEO 2026 costs'!H11</f>
        <v>4.799099</v>
      </c>
      <c r="K16" s="1"/>
      <c r="L16" s="1"/>
      <c r="P16" s="14">
        <f>'EIA AEO 2026 costs'!H12</f>
        <v>5.7341670000000002</v>
      </c>
      <c r="Q16" s="1"/>
      <c r="R16" s="1"/>
    </row>
    <row r="17" spans="1:21" x14ac:dyDescent="0.3">
      <c r="A17" t="s">
        <v>84</v>
      </c>
      <c r="B17" s="1"/>
      <c r="D17" s="5">
        <f>D16*D14</f>
        <v>32328842.467560001</v>
      </c>
      <c r="E17" s="1"/>
      <c r="F17" s="1"/>
      <c r="J17" s="5">
        <f>J16*J14</f>
        <v>32328842.467560001</v>
      </c>
      <c r="K17" s="1"/>
      <c r="L17" s="1"/>
      <c r="P17" s="5">
        <f>P16*P14</f>
        <v>29586237.419880003</v>
      </c>
      <c r="Q17" s="1"/>
      <c r="R17" s="1"/>
    </row>
    <row r="18" spans="1:21" x14ac:dyDescent="0.3">
      <c r="A18" t="s">
        <v>60</v>
      </c>
      <c r="B18" s="17">
        <v>0.3</v>
      </c>
      <c r="D18" s="13">
        <v>0.54</v>
      </c>
      <c r="E18" t="s">
        <v>82</v>
      </c>
      <c r="F18" t="s">
        <v>82</v>
      </c>
      <c r="J18" s="13">
        <v>0.54</v>
      </c>
      <c r="K18" t="s">
        <v>82</v>
      </c>
      <c r="L18" t="s">
        <v>82</v>
      </c>
      <c r="P18" s="13">
        <f>54%*(240/370)</f>
        <v>0.3502702702702703</v>
      </c>
      <c r="Q18" t="s">
        <v>82</v>
      </c>
      <c r="R18" t="s">
        <v>82</v>
      </c>
    </row>
    <row r="19" spans="1:21" x14ac:dyDescent="0.3">
      <c r="A19" t="s">
        <v>63</v>
      </c>
      <c r="B19" s="16">
        <f>B13/B18</f>
        <v>24820</v>
      </c>
      <c r="D19" s="16">
        <f>D13/D18</f>
        <v>8428.9789789789775</v>
      </c>
      <c r="J19" s="16">
        <f>J13/J18</f>
        <v>8428.9789789789775</v>
      </c>
      <c r="P19" s="16">
        <f>P13/P18</f>
        <v>9820.3024691358023</v>
      </c>
    </row>
    <row r="20" spans="1:21" x14ac:dyDescent="0.3">
      <c r="A20" t="s">
        <v>64</v>
      </c>
      <c r="B20" s="16">
        <f>B19*B3</f>
        <v>38222800</v>
      </c>
      <c r="D20" s="16">
        <f>D19*D3</f>
        <v>12474888.888888886</v>
      </c>
      <c r="J20" s="16">
        <f>J19*J3</f>
        <v>12474888.888888886</v>
      </c>
      <c r="P20" s="16">
        <f>P19*P3</f>
        <v>14730453.703703703</v>
      </c>
    </row>
    <row r="21" spans="1:21" x14ac:dyDescent="0.3">
      <c r="A21" t="s">
        <v>6</v>
      </c>
      <c r="B21" s="15">
        <v>3.6</v>
      </c>
      <c r="D21" s="15">
        <v>3.6</v>
      </c>
      <c r="J21" s="15">
        <v>3.6</v>
      </c>
      <c r="P21" s="15">
        <v>3.6</v>
      </c>
    </row>
    <row r="22" spans="1:21" x14ac:dyDescent="0.3">
      <c r="A22" t="s">
        <v>61</v>
      </c>
      <c r="B22" s="10">
        <f>B20*B21</f>
        <v>137602080</v>
      </c>
      <c r="C22" s="10"/>
      <c r="D22" s="10">
        <f>D20*D21</f>
        <v>44909599.999999993</v>
      </c>
      <c r="J22" s="10">
        <f>J20*J21</f>
        <v>44909599.999999993</v>
      </c>
      <c r="P22" s="10">
        <f>P20*P21</f>
        <v>53029633.333333336</v>
      </c>
    </row>
    <row r="23" spans="1:21" x14ac:dyDescent="0.3">
      <c r="A23" t="s">
        <v>135</v>
      </c>
      <c r="B23" s="10"/>
      <c r="C23" s="10"/>
      <c r="D23" s="23">
        <v>3.95E-2</v>
      </c>
      <c r="J23" s="23">
        <v>3.95E-2</v>
      </c>
      <c r="P23" s="23">
        <v>3.95E-2</v>
      </c>
    </row>
    <row r="24" spans="1:21" x14ac:dyDescent="0.3">
      <c r="A24" t="s">
        <v>134</v>
      </c>
      <c r="B24" s="10"/>
      <c r="C24" s="10"/>
      <c r="D24" s="10">
        <f>D22/D23</f>
        <v>1136951898.7341771</v>
      </c>
      <c r="J24" s="10">
        <f>J22/J23</f>
        <v>1136951898.7341771</v>
      </c>
      <c r="P24" s="10">
        <f>P22/P23</f>
        <v>1342522362.8691983</v>
      </c>
    </row>
    <row r="25" spans="1:21" x14ac:dyDescent="0.3">
      <c r="A25" t="s">
        <v>65</v>
      </c>
      <c r="B25" s="1">
        <v>25</v>
      </c>
      <c r="D25" s="1">
        <v>25</v>
      </c>
      <c r="E25" s="1">
        <v>25</v>
      </c>
      <c r="F25" s="1">
        <v>25</v>
      </c>
      <c r="J25" s="1">
        <v>25</v>
      </c>
      <c r="K25" s="1">
        <v>25</v>
      </c>
      <c r="L25" s="1">
        <v>25</v>
      </c>
      <c r="P25" s="1">
        <v>25</v>
      </c>
      <c r="Q25" s="1">
        <v>25</v>
      </c>
      <c r="R25" s="1">
        <v>25</v>
      </c>
    </row>
    <row r="26" spans="1:21" x14ac:dyDescent="0.3">
      <c r="A26" t="s">
        <v>275</v>
      </c>
      <c r="B26" s="10">
        <f>B22*B25</f>
        <v>3440052000</v>
      </c>
      <c r="C26" s="10"/>
      <c r="D26" s="10">
        <f>D22*D25</f>
        <v>1122739999.9999998</v>
      </c>
      <c r="J26" s="10">
        <f>J22*J25</f>
        <v>1122739999.9999998</v>
      </c>
      <c r="P26" s="10">
        <f>P22*P25</f>
        <v>1325740833.3333335</v>
      </c>
    </row>
    <row r="27" spans="1:21" x14ac:dyDescent="0.3">
      <c r="A27" t="s">
        <v>276</v>
      </c>
      <c r="B27" s="10"/>
      <c r="C27" s="10"/>
      <c r="D27" s="10">
        <f>D24*D25</f>
        <v>28423797468.354427</v>
      </c>
      <c r="J27" s="10">
        <f>J24*J25</f>
        <v>28423797468.354427</v>
      </c>
      <c r="P27" s="10">
        <f>P24*P25</f>
        <v>33563059071.729958</v>
      </c>
    </row>
    <row r="28" spans="1:21" x14ac:dyDescent="0.3">
      <c r="A28" t="s">
        <v>62</v>
      </c>
      <c r="B28" s="18">
        <f>B7/B26*1000000000</f>
        <v>3.7790126428321433</v>
      </c>
      <c r="C28" s="18"/>
      <c r="D28" s="18">
        <v>3</v>
      </c>
      <c r="J28" s="130">
        <v>8</v>
      </c>
      <c r="P28" s="130">
        <v>3</v>
      </c>
    </row>
    <row r="29" spans="1:21" x14ac:dyDescent="0.3">
      <c r="A29" t="s">
        <v>67</v>
      </c>
      <c r="B29" s="10">
        <f>B13*B3*B25</f>
        <v>286671000</v>
      </c>
      <c r="C29" s="10"/>
      <c r="D29" s="10">
        <f>D13*D3*D25</f>
        <v>168410999.99999997</v>
      </c>
      <c r="E29" s="10">
        <f>E13*E3*E25</f>
        <v>105120000</v>
      </c>
      <c r="F29" s="10">
        <f>F13*F3*F25</f>
        <v>13140000</v>
      </c>
      <c r="G29" s="10">
        <f>SUM(D29:F29)</f>
        <v>286671000</v>
      </c>
      <c r="J29" s="10">
        <f>J13*J3*J25</f>
        <v>168410999.99999997</v>
      </c>
      <c r="K29" s="10">
        <f>K13*K3*K25</f>
        <v>105120000</v>
      </c>
      <c r="L29" s="10">
        <f>L13*L3*L25</f>
        <v>13140000</v>
      </c>
      <c r="M29" s="10">
        <f>SUM(J29:L29)</f>
        <v>286671000</v>
      </c>
      <c r="P29" s="10">
        <f>P13*P3*P25</f>
        <v>128991000</v>
      </c>
      <c r="Q29" s="10">
        <f>Q13*Q3*Q25</f>
        <v>131400000</v>
      </c>
      <c r="R29" s="10">
        <f>R13*R3*R25</f>
        <v>26280000</v>
      </c>
      <c r="S29" s="10">
        <f>SUM(P29:R29)</f>
        <v>286671000</v>
      </c>
    </row>
    <row r="30" spans="1:21" x14ac:dyDescent="0.3">
      <c r="A30" t="s">
        <v>70</v>
      </c>
      <c r="B30" s="1">
        <f>B29/1000</f>
        <v>286671</v>
      </c>
      <c r="D30" s="1">
        <f>D29/1000</f>
        <v>168410.99999999997</v>
      </c>
      <c r="E30" s="1">
        <f t="shared" ref="E30:F30" si="10">E29/1000</f>
        <v>105120</v>
      </c>
      <c r="F30" s="1">
        <f t="shared" si="10"/>
        <v>13140</v>
      </c>
      <c r="G30" s="10">
        <f>SUM(D30:F30)</f>
        <v>286671</v>
      </c>
      <c r="J30" s="1">
        <f>J29/1000</f>
        <v>168410.99999999997</v>
      </c>
      <c r="K30" s="1">
        <f t="shared" ref="K30:L30" si="11">K29/1000</f>
        <v>105120</v>
      </c>
      <c r="L30" s="1">
        <f t="shared" si="11"/>
        <v>13140</v>
      </c>
      <c r="M30" s="10">
        <f>SUM(J30:L30)</f>
        <v>286671</v>
      </c>
      <c r="P30" s="1">
        <f>P29/1000</f>
        <v>128991</v>
      </c>
      <c r="Q30" s="1">
        <f t="shared" ref="Q30:R30" si="12">Q29/1000</f>
        <v>131400</v>
      </c>
      <c r="R30" s="1">
        <f t="shared" si="12"/>
        <v>26280</v>
      </c>
      <c r="S30" s="10">
        <f>SUM(P30:R30)</f>
        <v>286671</v>
      </c>
    </row>
    <row r="31" spans="1:21" x14ac:dyDescent="0.3">
      <c r="B31" s="1"/>
      <c r="D31" s="1"/>
      <c r="E31" s="1"/>
      <c r="F31" s="1"/>
      <c r="G31" s="10"/>
      <c r="J31" s="1"/>
      <c r="K31" s="1"/>
      <c r="L31" s="1"/>
      <c r="M31" s="10"/>
      <c r="P31" s="1"/>
      <c r="Q31" s="1"/>
      <c r="R31" s="1"/>
      <c r="S31" s="10"/>
    </row>
    <row r="32" spans="1:21" x14ac:dyDescent="0.3">
      <c r="A32" s="4" t="s">
        <v>72</v>
      </c>
      <c r="B32" s="19">
        <f>SUM(B5:B9)</f>
        <v>25.799999999999997</v>
      </c>
      <c r="G32" s="19">
        <f>SUM(G5:G9)</f>
        <v>16.978018061688999</v>
      </c>
      <c r="H32" s="15">
        <f>B32-G32</f>
        <v>8.8219819383109979</v>
      </c>
      <c r="I32" t="s">
        <v>102</v>
      </c>
      <c r="M32" s="19">
        <f>SUM(M5:M9)</f>
        <v>25.791718061688996</v>
      </c>
      <c r="N32" s="15">
        <f>B32-M32</f>
        <v>8.2819383110006584E-3</v>
      </c>
      <c r="O32" t="s">
        <v>102</v>
      </c>
      <c r="S32" s="19">
        <f>SUM(S5:S9)</f>
        <v>16.435070935496999</v>
      </c>
      <c r="T32" s="15">
        <f>B32-S32</f>
        <v>9.3649290645029986</v>
      </c>
      <c r="U32" t="s">
        <v>102</v>
      </c>
    </row>
    <row r="33" spans="1:24" x14ac:dyDescent="0.3">
      <c r="A33" s="4" t="s">
        <v>73</v>
      </c>
      <c r="B33" s="20">
        <f>B32/B29*1000000000</f>
        <v>89.998639555448577</v>
      </c>
      <c r="G33" s="20">
        <f>G32/G29*1000000000</f>
        <v>59.224749143404807</v>
      </c>
      <c r="H33" s="17">
        <f>G32/B32</f>
        <v>0.65806271556934115</v>
      </c>
      <c r="M33" s="20">
        <f>M32/M29*1000000000</f>
        <v>89.969749509678323</v>
      </c>
      <c r="N33" s="17">
        <f>M32/B32</f>
        <v>0.99967899463910848</v>
      </c>
      <c r="S33" s="20">
        <f>S32/S29*1000000000</f>
        <v>57.330776170233463</v>
      </c>
      <c r="T33" s="17">
        <f>S32/B32</f>
        <v>0.63701825331383721</v>
      </c>
    </row>
    <row r="34" spans="1:24" x14ac:dyDescent="0.3">
      <c r="B34" s="14"/>
      <c r="G34" s="14"/>
      <c r="H34">
        <f>H32/1000*1000000000</f>
        <v>8821981.9383109976</v>
      </c>
      <c r="M34" s="14"/>
      <c r="S34" s="14"/>
      <c r="X34" t="s">
        <v>137</v>
      </c>
    </row>
    <row r="35" spans="1:24" x14ac:dyDescent="0.3">
      <c r="A35" t="s">
        <v>138</v>
      </c>
      <c r="B35" s="14"/>
      <c r="D35" s="24">
        <v>1920</v>
      </c>
      <c r="G35" s="14"/>
      <c r="J35" s="24">
        <v>1920</v>
      </c>
      <c r="M35" s="14"/>
      <c r="P35" s="24">
        <v>1920</v>
      </c>
      <c r="S35" s="14"/>
      <c r="X35" t="s">
        <v>136</v>
      </c>
    </row>
    <row r="36" spans="1:24" x14ac:dyDescent="0.3">
      <c r="A36" t="s">
        <v>139</v>
      </c>
      <c r="B36" s="14"/>
      <c r="D36" s="25">
        <f>D35*D27/1000000</f>
        <v>54573691.139240503</v>
      </c>
      <c r="G36" s="10">
        <f>SUM(D36:F36)</f>
        <v>54573691.139240503</v>
      </c>
      <c r="J36" s="25">
        <f>J35*J27/1000000</f>
        <v>54573691.139240503</v>
      </c>
      <c r="M36" s="10">
        <f>SUM(J36:L36)</f>
        <v>54573691.139240503</v>
      </c>
      <c r="P36" s="25">
        <f>P35*P27/1000000</f>
        <v>64441073.417721517</v>
      </c>
      <c r="S36" s="10">
        <f>SUM(P36:R36)</f>
        <v>64441073.417721517</v>
      </c>
    </row>
    <row r="37" spans="1:24" x14ac:dyDescent="0.3">
      <c r="A37" t="s">
        <v>68</v>
      </c>
      <c r="B37">
        <v>1080</v>
      </c>
      <c r="D37" s="25">
        <f>D36/D30</f>
        <v>324.05063291139243</v>
      </c>
      <c r="E37">
        <v>0</v>
      </c>
      <c r="F37">
        <v>0</v>
      </c>
      <c r="G37" s="25">
        <f>G36/G30</f>
        <v>190.37046349034435</v>
      </c>
      <c r="J37" s="25">
        <f>J36/J30</f>
        <v>324.05063291139243</v>
      </c>
      <c r="K37">
        <v>0</v>
      </c>
      <c r="L37">
        <v>0</v>
      </c>
      <c r="M37" s="25">
        <f>M36/M30</f>
        <v>190.37046349034435</v>
      </c>
      <c r="P37" s="25">
        <f>P36/P30</f>
        <v>499.57805907172997</v>
      </c>
      <c r="Q37">
        <v>0</v>
      </c>
      <c r="R37">
        <v>0</v>
      </c>
      <c r="S37" s="25">
        <f>S36/S30</f>
        <v>224.79104415068673</v>
      </c>
    </row>
    <row r="38" spans="1:24" x14ac:dyDescent="0.3">
      <c r="A38" t="s">
        <v>69</v>
      </c>
      <c r="B38" s="1">
        <f>B37*B30/1000000</f>
        <v>309.60467999999997</v>
      </c>
      <c r="D38" s="1">
        <f>D37*D30/1000000</f>
        <v>54.573691139240502</v>
      </c>
      <c r="E38" s="1">
        <f t="shared" ref="E38:F38" si="13">E37*E30/1000000</f>
        <v>0</v>
      </c>
      <c r="F38" s="1">
        <f t="shared" si="13"/>
        <v>0</v>
      </c>
      <c r="J38" s="1">
        <f>J37*J30/1000000</f>
        <v>54.573691139240502</v>
      </c>
      <c r="K38" s="1">
        <f t="shared" ref="K38:L38" si="14">K37*K30/1000000</f>
        <v>0</v>
      </c>
      <c r="L38" s="1">
        <f t="shared" si="14"/>
        <v>0</v>
      </c>
      <c r="P38" s="1">
        <f>P37*P30/1000000</f>
        <v>64.441073417721512</v>
      </c>
      <c r="Q38" s="1">
        <f t="shared" ref="Q38:R38" si="15">Q37*Q30/1000000</f>
        <v>0</v>
      </c>
      <c r="R38" s="1">
        <f t="shared" si="15"/>
        <v>0</v>
      </c>
    </row>
    <row r="39" spans="1:24" x14ac:dyDescent="0.3">
      <c r="A39" t="s">
        <v>71</v>
      </c>
      <c r="B39" s="14">
        <f>B38/B25</f>
        <v>12.3841872</v>
      </c>
      <c r="D39" s="14">
        <f>D38/D25</f>
        <v>2.18294764556962</v>
      </c>
      <c r="E39" s="14">
        <f t="shared" ref="E39:F39" si="16">E38/E25</f>
        <v>0</v>
      </c>
      <c r="F39" s="14">
        <f t="shared" si="16"/>
        <v>0</v>
      </c>
      <c r="G39" s="21">
        <f>SUM(D39:F39)</f>
        <v>2.18294764556962</v>
      </c>
      <c r="H39" t="s">
        <v>103</v>
      </c>
      <c r="J39" s="14">
        <f>J38/J25</f>
        <v>2.18294764556962</v>
      </c>
      <c r="K39" s="14">
        <f t="shared" ref="K39:L39" si="17">K38/K25</f>
        <v>0</v>
      </c>
      <c r="L39" s="14">
        <f t="shared" si="17"/>
        <v>0</v>
      </c>
      <c r="M39" s="21">
        <f>SUM(J39:L39)</f>
        <v>2.18294764556962</v>
      </c>
      <c r="N39" t="s">
        <v>103</v>
      </c>
      <c r="P39" s="14">
        <f>P38/P25</f>
        <v>2.5776429367088607</v>
      </c>
      <c r="Q39" s="14">
        <f t="shared" ref="Q39:R39" si="18">Q38/Q25</f>
        <v>0</v>
      </c>
      <c r="R39" s="14">
        <f t="shared" si="18"/>
        <v>0</v>
      </c>
      <c r="S39" s="21">
        <f>SUM(P39:R39)</f>
        <v>2.5776429367088607</v>
      </c>
      <c r="T39" t="s">
        <v>103</v>
      </c>
    </row>
    <row r="40" spans="1:24" x14ac:dyDescent="0.3">
      <c r="A40" t="s">
        <v>74</v>
      </c>
      <c r="B40" s="29">
        <f>'Carbon price exposure'!I29</f>
        <v>20.844704245811929</v>
      </c>
      <c r="D40" s="29">
        <f>'Carbon price exposure'!$Q$29</f>
        <v>5.4064239537108207</v>
      </c>
      <c r="E40" s="15"/>
      <c r="F40" s="15"/>
      <c r="G40" s="30">
        <f>SUM(D40:F40)</f>
        <v>5.4064239537108207</v>
      </c>
      <c r="H40" t="s">
        <v>104</v>
      </c>
      <c r="J40" s="29">
        <f>'Carbon price exposure'!$Q$29</f>
        <v>5.4064239537108207</v>
      </c>
      <c r="K40" s="15"/>
      <c r="L40" s="15"/>
      <c r="M40" s="30">
        <f>SUM(J40:L40)</f>
        <v>5.4064239537108207</v>
      </c>
      <c r="N40" t="s">
        <v>104</v>
      </c>
      <c r="P40" s="29">
        <f>'Carbon price exposure'!$X$29</f>
        <v>6.4940212701733344</v>
      </c>
      <c r="Q40" s="15"/>
      <c r="R40" s="15"/>
      <c r="S40" s="29">
        <f>SUM(P40:R40)</f>
        <v>6.4940212701733344</v>
      </c>
      <c r="T40" t="s">
        <v>104</v>
      </c>
    </row>
    <row r="42" spans="1:24" x14ac:dyDescent="0.3">
      <c r="A42" s="4" t="s">
        <v>85</v>
      </c>
      <c r="B42" s="19">
        <f>B32+B40</f>
        <v>46.644704245811923</v>
      </c>
      <c r="G42" s="19">
        <f>G32+G40</f>
        <v>22.38444201539982</v>
      </c>
      <c r="M42" s="19">
        <f>M32+M40</f>
        <v>31.198142015399817</v>
      </c>
      <c r="S42" s="19">
        <f>S32+S40</f>
        <v>22.929092205670333</v>
      </c>
    </row>
    <row r="43" spans="1:24" x14ac:dyDescent="0.3">
      <c r="G43" s="17">
        <f>G42/$B42</f>
        <v>0.47989246319231721</v>
      </c>
      <c r="M43" s="17">
        <f>M42/$B42</f>
        <v>0.66884638931333773</v>
      </c>
      <c r="S43" s="17">
        <f>S42/$B42</f>
        <v>0.49156903396443041</v>
      </c>
    </row>
    <row r="45" spans="1:24" x14ac:dyDescent="0.3">
      <c r="J45">
        <v>8760</v>
      </c>
      <c r="K45" t="s">
        <v>125</v>
      </c>
    </row>
    <row r="46" spans="1:24" x14ac:dyDescent="0.3">
      <c r="J46">
        <f>J37*J45/1000</f>
        <v>2838.6835443037976</v>
      </c>
      <c r="K46" t="s">
        <v>126</v>
      </c>
    </row>
    <row r="48" spans="1:24" x14ac:dyDescent="0.3">
      <c r="J48" s="15">
        <f>J45*J12*J37/1000</f>
        <v>1474.9646253848787</v>
      </c>
      <c r="K48" t="s">
        <v>127</v>
      </c>
    </row>
    <row r="50" spans="10:11" x14ac:dyDescent="0.3">
      <c r="J50" s="17">
        <f>J48/J46</f>
        <v>0.51959459459459456</v>
      </c>
    </row>
    <row r="52" spans="10:11" x14ac:dyDescent="0.3">
      <c r="J52" s="1">
        <f>J50*J37</f>
        <v>168.37495723571672</v>
      </c>
      <c r="K52" t="s">
        <v>124</v>
      </c>
    </row>
    <row r="54" spans="10:11" x14ac:dyDescent="0.3">
      <c r="J54">
        <v>65</v>
      </c>
      <c r="K54" t="s">
        <v>128</v>
      </c>
    </row>
    <row r="55" spans="10:11" x14ac:dyDescent="0.3">
      <c r="J55" s="17">
        <f>J54/J37</f>
        <v>0.20058593749999998</v>
      </c>
      <c r="K55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5C70B-E643-714A-8E97-229F7F94D291}">
  <dimension ref="A1:J26"/>
  <sheetViews>
    <sheetView topLeftCell="A12" zoomScaleNormal="100" workbookViewId="0">
      <selection activeCell="H27" sqref="H27"/>
    </sheetView>
  </sheetViews>
  <sheetFormatPr defaultColWidth="11.44140625" defaultRowHeight="14.4" x14ac:dyDescent="0.3"/>
  <cols>
    <col min="1" max="1" width="29.33203125" customWidth="1"/>
    <col min="2" max="2" width="27.109375" customWidth="1"/>
    <col min="3" max="3" width="25.6640625" customWidth="1"/>
    <col min="4" max="4" width="17.109375" customWidth="1"/>
    <col min="5" max="5" width="13.88671875" customWidth="1"/>
    <col min="6" max="6" width="17" customWidth="1"/>
  </cols>
  <sheetData>
    <row r="1" spans="1:10" x14ac:dyDescent="0.3">
      <c r="A1" t="s">
        <v>16</v>
      </c>
      <c r="B1" t="s">
        <v>19</v>
      </c>
      <c r="C1" t="s">
        <v>17</v>
      </c>
      <c r="D1" t="s">
        <v>10</v>
      </c>
      <c r="E1" t="s">
        <v>11</v>
      </c>
      <c r="F1" t="s">
        <v>9</v>
      </c>
      <c r="G1" t="s">
        <v>12</v>
      </c>
      <c r="H1" t="s">
        <v>21</v>
      </c>
    </row>
    <row r="2" spans="1:10" x14ac:dyDescent="0.3">
      <c r="A2" t="s">
        <v>8</v>
      </c>
      <c r="B2" t="s">
        <v>20</v>
      </c>
      <c r="C2" t="s">
        <v>7</v>
      </c>
      <c r="D2" s="2">
        <v>825</v>
      </c>
      <c r="E2">
        <v>377</v>
      </c>
      <c r="F2">
        <v>2024</v>
      </c>
      <c r="G2" s="2">
        <f>D2/E2*1000</f>
        <v>2188.3289124668436</v>
      </c>
      <c r="H2" t="s">
        <v>22</v>
      </c>
    </row>
    <row r="3" spans="1:10" x14ac:dyDescent="0.3">
      <c r="A3" t="s">
        <v>23</v>
      </c>
      <c r="B3" t="s">
        <v>20</v>
      </c>
      <c r="C3" t="s">
        <v>24</v>
      </c>
      <c r="D3" s="2">
        <v>1700</v>
      </c>
      <c r="E3">
        <v>370</v>
      </c>
      <c r="F3">
        <v>2026</v>
      </c>
      <c r="G3" s="2">
        <f>D3/E3*1000</f>
        <v>4594.594594594595</v>
      </c>
      <c r="H3" t="s">
        <v>25</v>
      </c>
    </row>
    <row r="4" spans="1:10" x14ac:dyDescent="0.3">
      <c r="A4" t="s">
        <v>13</v>
      </c>
      <c r="B4" t="s">
        <v>1</v>
      </c>
      <c r="C4" t="s">
        <v>14</v>
      </c>
      <c r="D4" s="2">
        <v>380</v>
      </c>
      <c r="E4">
        <v>200</v>
      </c>
      <c r="F4">
        <v>2024</v>
      </c>
      <c r="G4" s="2">
        <f>D4/E4*1000</f>
        <v>1900</v>
      </c>
      <c r="H4" t="s">
        <v>258</v>
      </c>
    </row>
    <row r="5" spans="1:10" x14ac:dyDescent="0.3">
      <c r="A5" t="s">
        <v>15</v>
      </c>
      <c r="B5" t="s">
        <v>2</v>
      </c>
      <c r="C5" t="s">
        <v>18</v>
      </c>
      <c r="D5" s="2">
        <v>200</v>
      </c>
      <c r="E5">
        <v>100</v>
      </c>
      <c r="F5">
        <v>2026</v>
      </c>
      <c r="G5" s="2">
        <f>D5/E5*1000</f>
        <v>2000</v>
      </c>
      <c r="H5" t="s">
        <v>259</v>
      </c>
    </row>
    <row r="6" spans="1:10" x14ac:dyDescent="0.3">
      <c r="A6" t="s">
        <v>269</v>
      </c>
      <c r="B6" t="s">
        <v>270</v>
      </c>
      <c r="C6" t="s">
        <v>271</v>
      </c>
      <c r="D6" s="2">
        <v>1360</v>
      </c>
      <c r="E6">
        <v>500</v>
      </c>
      <c r="F6">
        <v>2030</v>
      </c>
      <c r="G6" s="2">
        <f>D6/E6*1000</f>
        <v>2720</v>
      </c>
      <c r="H6" t="s">
        <v>272</v>
      </c>
    </row>
    <row r="7" spans="1:10" x14ac:dyDescent="0.3">
      <c r="A7" t="s">
        <v>262</v>
      </c>
      <c r="B7" t="s">
        <v>263</v>
      </c>
      <c r="C7" t="s">
        <v>264</v>
      </c>
      <c r="D7" s="2">
        <v>25800</v>
      </c>
      <c r="E7">
        <v>1540</v>
      </c>
      <c r="F7" t="s">
        <v>265</v>
      </c>
      <c r="G7" s="2"/>
      <c r="H7" s="3" t="s">
        <v>266</v>
      </c>
    </row>
    <row r="8" spans="1:10" x14ac:dyDescent="0.3">
      <c r="H8" s="5">
        <f>D6/2</f>
        <v>680</v>
      </c>
    </row>
    <row r="10" spans="1:10" ht="28.8" x14ac:dyDescent="0.3">
      <c r="A10" s="7" t="s">
        <v>27</v>
      </c>
      <c r="B10" t="s">
        <v>19</v>
      </c>
      <c r="C10" t="s">
        <v>17</v>
      </c>
      <c r="D10" s="7" t="s">
        <v>10</v>
      </c>
      <c r="E10" s="7" t="s">
        <v>11</v>
      </c>
      <c r="F10" s="7" t="s">
        <v>29</v>
      </c>
      <c r="G10" s="7" t="s">
        <v>30</v>
      </c>
      <c r="H10" s="7" t="s">
        <v>28</v>
      </c>
      <c r="I10" s="7" t="s">
        <v>31</v>
      </c>
    </row>
    <row r="11" spans="1:10" x14ac:dyDescent="0.3">
      <c r="A11" t="s">
        <v>32</v>
      </c>
      <c r="B11" t="s">
        <v>0</v>
      </c>
      <c r="C11" t="s">
        <v>18</v>
      </c>
      <c r="D11">
        <v>327</v>
      </c>
      <c r="E11">
        <v>284</v>
      </c>
      <c r="F11">
        <v>1977</v>
      </c>
      <c r="G11" s="2">
        <f>D11/E11*1000</f>
        <v>1151.4084507042253</v>
      </c>
      <c r="H11">
        <v>2030</v>
      </c>
      <c r="I11">
        <f>2026-F11</f>
        <v>49</v>
      </c>
      <c r="J11" t="s">
        <v>260</v>
      </c>
    </row>
    <row r="12" spans="1:10" x14ac:dyDescent="0.3">
      <c r="A12" t="s">
        <v>33</v>
      </c>
      <c r="B12" t="s">
        <v>0</v>
      </c>
      <c r="C12" t="s">
        <v>46</v>
      </c>
      <c r="D12">
        <v>336</v>
      </c>
      <c r="E12">
        <v>291</v>
      </c>
      <c r="F12">
        <v>1983</v>
      </c>
      <c r="G12" s="2">
        <f>D12/E12*1000</f>
        <v>1154.6391752577319</v>
      </c>
      <c r="H12">
        <v>2031</v>
      </c>
      <c r="I12">
        <f>2026-F12</f>
        <v>43</v>
      </c>
      <c r="J12" t="s">
        <v>260</v>
      </c>
    </row>
    <row r="13" spans="1:10" x14ac:dyDescent="0.3">
      <c r="A13" t="s">
        <v>34</v>
      </c>
      <c r="B13" t="s">
        <v>0</v>
      </c>
      <c r="C13" t="s">
        <v>46</v>
      </c>
      <c r="D13">
        <v>356</v>
      </c>
      <c r="E13">
        <v>291</v>
      </c>
      <c r="F13">
        <v>1981</v>
      </c>
      <c r="G13" s="2">
        <f>D13/E13*1000</f>
        <v>1223.3676975945018</v>
      </c>
      <c r="H13">
        <v>2033</v>
      </c>
      <c r="I13">
        <f>2026-F13</f>
        <v>45</v>
      </c>
      <c r="J13" t="s">
        <v>260</v>
      </c>
    </row>
    <row r="14" spans="1:10" x14ac:dyDescent="0.3">
      <c r="A14" t="s">
        <v>35</v>
      </c>
      <c r="B14" t="s">
        <v>0</v>
      </c>
      <c r="C14" t="s">
        <v>18</v>
      </c>
      <c r="D14">
        <v>346</v>
      </c>
      <c r="E14">
        <v>276</v>
      </c>
      <c r="F14">
        <v>1992</v>
      </c>
      <c r="G14" s="2">
        <f>D14/E14*1000</f>
        <v>1253.623188405797</v>
      </c>
      <c r="H14">
        <v>2032</v>
      </c>
      <c r="I14">
        <f>2026-F14</f>
        <v>34</v>
      </c>
      <c r="J14" t="s">
        <v>260</v>
      </c>
    </row>
    <row r="15" spans="1:10" x14ac:dyDescent="0.3">
      <c r="A15" t="s">
        <v>36</v>
      </c>
      <c r="B15" t="s">
        <v>0</v>
      </c>
      <c r="C15" t="s">
        <v>18</v>
      </c>
      <c r="D15">
        <v>228</v>
      </c>
      <c r="E15">
        <v>120</v>
      </c>
      <c r="F15" t="s">
        <v>37</v>
      </c>
      <c r="G15" s="8">
        <f>D15/E15*1000</f>
        <v>1900</v>
      </c>
      <c r="H15">
        <v>2034</v>
      </c>
      <c r="J15" t="s">
        <v>260</v>
      </c>
    </row>
    <row r="16" spans="1:10" x14ac:dyDescent="0.3">
      <c r="A16" t="s">
        <v>38</v>
      </c>
      <c r="B16" t="s">
        <v>0</v>
      </c>
      <c r="C16" t="s">
        <v>18</v>
      </c>
      <c r="D16">
        <v>254</v>
      </c>
      <c r="F16">
        <v>2014</v>
      </c>
      <c r="G16" s="2"/>
      <c r="J16" t="s">
        <v>260</v>
      </c>
    </row>
    <row r="17" spans="1:10" x14ac:dyDescent="0.3">
      <c r="A17" t="s">
        <v>39</v>
      </c>
      <c r="B17" t="s">
        <v>0</v>
      </c>
      <c r="C17" t="s">
        <v>18</v>
      </c>
      <c r="D17">
        <v>189</v>
      </c>
      <c r="E17">
        <v>139</v>
      </c>
      <c r="F17">
        <v>1973</v>
      </c>
      <c r="G17" s="2">
        <f>D17/E17*1000</f>
        <v>1359.7122302158273</v>
      </c>
      <c r="H17">
        <v>2035</v>
      </c>
      <c r="I17">
        <f>2026-F17</f>
        <v>53</v>
      </c>
      <c r="J17" t="s">
        <v>260</v>
      </c>
    </row>
    <row r="18" spans="1:10" x14ac:dyDescent="0.3">
      <c r="A18" s="6" t="s">
        <v>40</v>
      </c>
      <c r="B18" t="s">
        <v>0</v>
      </c>
      <c r="C18" t="s">
        <v>18</v>
      </c>
      <c r="D18" s="6">
        <v>501</v>
      </c>
      <c r="E18" s="6">
        <v>139</v>
      </c>
      <c r="F18" s="6">
        <v>1970</v>
      </c>
      <c r="G18" s="8">
        <f>D18/E18*1000</f>
        <v>3604.3165467625895</v>
      </c>
      <c r="H18" s="6">
        <v>2036</v>
      </c>
      <c r="I18">
        <f>2026-F18</f>
        <v>56</v>
      </c>
      <c r="J18" t="s">
        <v>260</v>
      </c>
    </row>
    <row r="19" spans="1:10" x14ac:dyDescent="0.3">
      <c r="D19">
        <f>SUM(D11:D18)</f>
        <v>2537</v>
      </c>
    </row>
    <row r="20" spans="1:10" x14ac:dyDescent="0.3">
      <c r="A20" t="s">
        <v>261</v>
      </c>
    </row>
    <row r="21" spans="1:10" x14ac:dyDescent="0.3">
      <c r="A21" t="s">
        <v>260</v>
      </c>
    </row>
    <row r="24" spans="1:10" x14ac:dyDescent="0.3">
      <c r="A24" t="s">
        <v>280</v>
      </c>
      <c r="B24" t="s">
        <v>281</v>
      </c>
      <c r="C24" t="s">
        <v>284</v>
      </c>
      <c r="D24">
        <v>6000</v>
      </c>
      <c r="E24">
        <v>300</v>
      </c>
      <c r="G24" s="2">
        <f>D24/E24*1000</f>
        <v>20000</v>
      </c>
      <c r="H24" s="3" t="s">
        <v>26</v>
      </c>
    </row>
    <row r="25" spans="1:10" x14ac:dyDescent="0.3">
      <c r="A25" t="s">
        <v>280</v>
      </c>
      <c r="B25" t="s">
        <v>282</v>
      </c>
      <c r="C25" t="s">
        <v>284</v>
      </c>
      <c r="D25">
        <v>4100</v>
      </c>
      <c r="E25">
        <v>300</v>
      </c>
      <c r="G25" s="2">
        <f>D25/E25*1000</f>
        <v>13666.666666666666</v>
      </c>
      <c r="H25" s="3" t="s">
        <v>26</v>
      </c>
    </row>
    <row r="26" spans="1:10" x14ac:dyDescent="0.3">
      <c r="A26" t="s">
        <v>280</v>
      </c>
      <c r="B26" t="s">
        <v>283</v>
      </c>
      <c r="C26" t="s">
        <v>284</v>
      </c>
      <c r="D26">
        <v>21000</v>
      </c>
      <c r="E26">
        <v>1200</v>
      </c>
      <c r="G26" s="2">
        <f>D26/E26*1000</f>
        <v>17500</v>
      </c>
      <c r="H26" s="3" t="s">
        <v>26</v>
      </c>
    </row>
  </sheetData>
  <hyperlinks>
    <hyperlink ref="H24" r:id="rId1" xr:uid="{21BAAC93-5BF9-4ED2-938A-88F10EEFA8B4}"/>
    <hyperlink ref="H7" r:id="rId2" xr:uid="{F2290B4A-5387-4D34-9833-D21FCEE10939}"/>
    <hyperlink ref="H25" r:id="rId3" xr:uid="{A0415C15-9B6B-4DD3-99D9-4475772A5104}"/>
    <hyperlink ref="H26" r:id="rId4" xr:uid="{9F675571-530D-480A-945D-70DC1BF10D4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F481-5A9D-43F0-A95F-90A29309D404}">
  <dimension ref="A1:H50"/>
  <sheetViews>
    <sheetView topLeftCell="A19" workbookViewId="0">
      <selection activeCell="B47" sqref="B47"/>
    </sheetView>
  </sheetViews>
  <sheetFormatPr defaultRowHeight="14.4" x14ac:dyDescent="0.3"/>
  <cols>
    <col min="1" max="1" width="17.21875" customWidth="1"/>
    <col min="2" max="2" width="11.33203125" customWidth="1"/>
    <col min="3" max="3" width="11.5546875" customWidth="1"/>
    <col min="4" max="5" width="13.88671875" bestFit="1" customWidth="1"/>
    <col min="7" max="7" width="11.21875" bestFit="1" customWidth="1"/>
  </cols>
  <sheetData>
    <row r="1" spans="1:8" x14ac:dyDescent="0.3">
      <c r="B1" t="s">
        <v>91</v>
      </c>
      <c r="C1" t="s">
        <v>88</v>
      </c>
      <c r="D1" t="s">
        <v>86</v>
      </c>
      <c r="E1" t="s">
        <v>87</v>
      </c>
    </row>
    <row r="2" spans="1:8" x14ac:dyDescent="0.3">
      <c r="A2" t="s">
        <v>89</v>
      </c>
      <c r="B2">
        <v>316</v>
      </c>
      <c r="C2">
        <v>366</v>
      </c>
      <c r="D2">
        <v>449</v>
      </c>
      <c r="E2">
        <v>397</v>
      </c>
      <c r="H2" t="s">
        <v>121</v>
      </c>
    </row>
    <row r="3" spans="1:8" x14ac:dyDescent="0.3">
      <c r="A3" t="s">
        <v>90</v>
      </c>
      <c r="B3">
        <v>313</v>
      </c>
      <c r="C3">
        <v>296</v>
      </c>
      <c r="D3">
        <v>318</v>
      </c>
      <c r="E3">
        <v>280</v>
      </c>
      <c r="H3" t="s">
        <v>122</v>
      </c>
    </row>
    <row r="4" spans="1:8" x14ac:dyDescent="0.3">
      <c r="A4" t="s">
        <v>92</v>
      </c>
      <c r="B4">
        <v>173</v>
      </c>
      <c r="C4">
        <v>178</v>
      </c>
      <c r="D4">
        <v>163</v>
      </c>
      <c r="E4">
        <v>81</v>
      </c>
      <c r="H4" t="s">
        <v>123</v>
      </c>
    </row>
    <row r="5" spans="1:8" x14ac:dyDescent="0.3">
      <c r="A5" t="s">
        <v>93</v>
      </c>
      <c r="B5">
        <v>108</v>
      </c>
      <c r="C5">
        <v>84</v>
      </c>
      <c r="D5">
        <v>93</v>
      </c>
      <c r="E5">
        <v>63</v>
      </c>
    </row>
    <row r="6" spans="1:8" x14ac:dyDescent="0.3">
      <c r="A6" t="s">
        <v>95</v>
      </c>
      <c r="B6">
        <v>18</v>
      </c>
      <c r="C6">
        <v>16</v>
      </c>
      <c r="D6">
        <v>20</v>
      </c>
      <c r="E6">
        <v>18</v>
      </c>
    </row>
    <row r="7" spans="1:8" x14ac:dyDescent="0.3">
      <c r="A7" t="s">
        <v>96</v>
      </c>
      <c r="B7">
        <v>8</v>
      </c>
      <c r="C7">
        <v>6</v>
      </c>
      <c r="D7">
        <v>5</v>
      </c>
      <c r="E7">
        <v>1</v>
      </c>
    </row>
    <row r="9" spans="1:8" x14ac:dyDescent="0.3">
      <c r="A9" t="s">
        <v>97</v>
      </c>
      <c r="B9" t="s">
        <v>91</v>
      </c>
      <c r="C9" t="s">
        <v>88</v>
      </c>
      <c r="D9" t="s">
        <v>86</v>
      </c>
      <c r="E9" t="s">
        <v>87</v>
      </c>
      <c r="G9" t="s">
        <v>133</v>
      </c>
    </row>
    <row r="10" spans="1:8" x14ac:dyDescent="0.3">
      <c r="A10" t="s">
        <v>76</v>
      </c>
      <c r="B10">
        <v>12426</v>
      </c>
      <c r="C10">
        <v>11934</v>
      </c>
      <c r="D10">
        <v>10575</v>
      </c>
      <c r="E10">
        <v>10766</v>
      </c>
      <c r="G10" s="22">
        <f>SUM(B10:E10)</f>
        <v>45701</v>
      </c>
    </row>
    <row r="11" spans="1:8" x14ac:dyDescent="0.3">
      <c r="A11" t="s">
        <v>0</v>
      </c>
      <c r="B11">
        <v>6245</v>
      </c>
      <c r="C11">
        <v>7895</v>
      </c>
      <c r="D11">
        <v>8424</v>
      </c>
      <c r="E11">
        <v>9479</v>
      </c>
      <c r="G11" s="22">
        <f>SUM(B11:E11)</f>
        <v>32043</v>
      </c>
    </row>
    <row r="12" spans="1:8" x14ac:dyDescent="0.3">
      <c r="A12" t="s">
        <v>98</v>
      </c>
      <c r="B12">
        <v>1929</v>
      </c>
      <c r="C12">
        <v>2027</v>
      </c>
      <c r="D12">
        <v>1806</v>
      </c>
      <c r="E12">
        <v>752</v>
      </c>
      <c r="G12" s="22">
        <f>SUM(B12:E12)</f>
        <v>6514</v>
      </c>
    </row>
    <row r="13" spans="1:8" x14ac:dyDescent="0.3">
      <c r="A13" t="s">
        <v>1</v>
      </c>
      <c r="B13">
        <v>2531</v>
      </c>
      <c r="C13">
        <v>1981</v>
      </c>
      <c r="D13">
        <v>2177</v>
      </c>
      <c r="E13">
        <v>1661</v>
      </c>
      <c r="G13" s="22">
        <f t="shared" ref="G13:G15" si="0">SUM(B13:E13)</f>
        <v>8350</v>
      </c>
    </row>
    <row r="14" spans="1:8" x14ac:dyDescent="0.3">
      <c r="A14" t="s">
        <v>94</v>
      </c>
      <c r="B14">
        <v>2769</v>
      </c>
      <c r="C14">
        <v>2490</v>
      </c>
      <c r="D14">
        <v>3244</v>
      </c>
      <c r="E14">
        <v>2850</v>
      </c>
      <c r="G14" s="22">
        <f t="shared" si="0"/>
        <v>11353</v>
      </c>
    </row>
    <row r="15" spans="1:8" x14ac:dyDescent="0.3">
      <c r="A15" t="s">
        <v>2</v>
      </c>
      <c r="B15">
        <v>180</v>
      </c>
      <c r="C15">
        <v>71</v>
      </c>
      <c r="D15">
        <v>55</v>
      </c>
      <c r="E15">
        <v>14</v>
      </c>
      <c r="G15" s="22">
        <f t="shared" si="0"/>
        <v>320</v>
      </c>
    </row>
    <row r="17" spans="1:5" x14ac:dyDescent="0.3">
      <c r="A17" t="s">
        <v>99</v>
      </c>
      <c r="B17" t="s">
        <v>91</v>
      </c>
      <c r="C17" t="s">
        <v>88</v>
      </c>
      <c r="D17" t="s">
        <v>86</v>
      </c>
      <c r="E17" t="s">
        <v>87</v>
      </c>
    </row>
    <row r="18" spans="1:5" x14ac:dyDescent="0.3">
      <c r="A18" t="s">
        <v>76</v>
      </c>
      <c r="B18" s="1">
        <f>B2/B10*1000</f>
        <v>25.430548849187186</v>
      </c>
      <c r="C18" s="1">
        <f t="shared" ref="C18:E18" si="1">C2/C10*1000</f>
        <v>30.668677727501255</v>
      </c>
      <c r="D18" s="1">
        <f t="shared" si="1"/>
        <v>42.458628841607563</v>
      </c>
      <c r="E18" s="1">
        <f t="shared" si="1"/>
        <v>36.875348318781349</v>
      </c>
    </row>
    <row r="19" spans="1:5" x14ac:dyDescent="0.3">
      <c r="A19" t="s">
        <v>0</v>
      </c>
      <c r="B19" s="1">
        <f t="shared" ref="B19:E19" si="2">B3/B11*1000</f>
        <v>50.120096076861493</v>
      </c>
      <c r="C19" s="1">
        <f t="shared" si="2"/>
        <v>37.49208359721343</v>
      </c>
      <c r="D19" s="1">
        <f t="shared" si="2"/>
        <v>37.749287749287753</v>
      </c>
      <c r="E19" s="1">
        <f t="shared" si="2"/>
        <v>29.538980905158773</v>
      </c>
    </row>
    <row r="20" spans="1:5" x14ac:dyDescent="0.3">
      <c r="A20" t="s">
        <v>98</v>
      </c>
      <c r="B20" s="1">
        <f t="shared" ref="B20:E20" si="3">B4/B12*1000</f>
        <v>89.683773976153446</v>
      </c>
      <c r="C20" s="1">
        <f t="shared" si="3"/>
        <v>87.814504193389254</v>
      </c>
      <c r="D20" s="1">
        <f t="shared" si="3"/>
        <v>90.2547065337763</v>
      </c>
      <c r="E20" s="1">
        <f t="shared" si="3"/>
        <v>107.71276595744681</v>
      </c>
    </row>
    <row r="21" spans="1:5" x14ac:dyDescent="0.3">
      <c r="A21" t="s">
        <v>1</v>
      </c>
      <c r="B21" s="1">
        <f t="shared" ref="B21:E21" si="4">B5/B13*1000</f>
        <v>42.670881074674035</v>
      </c>
      <c r="C21" s="1">
        <f t="shared" si="4"/>
        <v>42.402826855123678</v>
      </c>
      <c r="D21" s="1">
        <f t="shared" si="4"/>
        <v>42.719338539274233</v>
      </c>
      <c r="E21" s="1">
        <f t="shared" si="4"/>
        <v>37.928958458759787</v>
      </c>
    </row>
    <row r="22" spans="1:5" x14ac:dyDescent="0.3">
      <c r="A22" t="s">
        <v>94</v>
      </c>
      <c r="B22" s="1">
        <f t="shared" ref="B22:E22" si="5">B6/B14*1000</f>
        <v>6.5005417118093174</v>
      </c>
      <c r="C22" s="1">
        <f t="shared" si="5"/>
        <v>6.4257028112449799</v>
      </c>
      <c r="D22" s="1">
        <f t="shared" si="5"/>
        <v>6.1652281134401976</v>
      </c>
      <c r="E22" s="1">
        <f t="shared" si="5"/>
        <v>6.3157894736842106</v>
      </c>
    </row>
    <row r="23" spans="1:5" x14ac:dyDescent="0.3">
      <c r="A23" t="s">
        <v>2</v>
      </c>
      <c r="B23" s="1">
        <f t="shared" ref="B23:E23" si="6">B7/B15*1000</f>
        <v>44.444444444444443</v>
      </c>
      <c r="C23" s="1">
        <f t="shared" si="6"/>
        <v>84.507042253521121</v>
      </c>
      <c r="D23" s="1">
        <f t="shared" si="6"/>
        <v>90.909090909090907</v>
      </c>
      <c r="E23" s="1">
        <f t="shared" si="6"/>
        <v>71.428571428571431</v>
      </c>
    </row>
    <row r="25" spans="1:5" x14ac:dyDescent="0.3">
      <c r="A25" t="s">
        <v>11</v>
      </c>
      <c r="B25" t="s">
        <v>91</v>
      </c>
      <c r="C25" t="s">
        <v>88</v>
      </c>
      <c r="D25" t="s">
        <v>86</v>
      </c>
      <c r="E25" t="s">
        <v>87</v>
      </c>
    </row>
    <row r="26" spans="1:5" x14ac:dyDescent="0.3">
      <c r="A26" t="s">
        <v>76</v>
      </c>
      <c r="B26">
        <v>2434</v>
      </c>
      <c r="C26">
        <v>2065</v>
      </c>
      <c r="D26">
        <v>2160</v>
      </c>
      <c r="E26">
        <v>2160</v>
      </c>
    </row>
    <row r="27" spans="1:5" x14ac:dyDescent="0.3">
      <c r="A27" t="s">
        <v>0</v>
      </c>
      <c r="B27">
        <v>1389</v>
      </c>
      <c r="C27">
        <v>1389</v>
      </c>
      <c r="D27">
        <v>1389</v>
      </c>
      <c r="E27">
        <v>1389</v>
      </c>
    </row>
    <row r="28" spans="1:5" x14ac:dyDescent="0.3">
      <c r="A28" t="s">
        <v>98</v>
      </c>
    </row>
    <row r="29" spans="1:5" x14ac:dyDescent="0.3">
      <c r="A29" t="s">
        <v>1</v>
      </c>
      <c r="B29">
        <v>818</v>
      </c>
      <c r="C29">
        <v>617</v>
      </c>
      <c r="D29">
        <v>617</v>
      </c>
      <c r="E29">
        <v>626</v>
      </c>
    </row>
    <row r="30" spans="1:5" x14ac:dyDescent="0.3">
      <c r="A30" t="s">
        <v>94</v>
      </c>
      <c r="B30">
        <v>1153</v>
      </c>
      <c r="C30">
        <v>1155</v>
      </c>
      <c r="D30">
        <v>1154</v>
      </c>
      <c r="E30">
        <v>989</v>
      </c>
    </row>
    <row r="31" spans="1:5" x14ac:dyDescent="0.3">
      <c r="A31" t="s">
        <v>2</v>
      </c>
      <c r="B31">
        <v>103</v>
      </c>
      <c r="C31">
        <v>95</v>
      </c>
      <c r="D31">
        <v>83</v>
      </c>
      <c r="E31">
        <v>54</v>
      </c>
    </row>
    <row r="33" spans="1:7" x14ac:dyDescent="0.3">
      <c r="A33" t="s">
        <v>101</v>
      </c>
      <c r="B33" t="s">
        <v>91</v>
      </c>
      <c r="C33" t="s">
        <v>88</v>
      </c>
      <c r="D33" t="s">
        <v>86</v>
      </c>
      <c r="E33" t="s">
        <v>87</v>
      </c>
    </row>
    <row r="34" spans="1:7" x14ac:dyDescent="0.3">
      <c r="A34" t="s">
        <v>76</v>
      </c>
      <c r="B34" s="17">
        <f>B10/(B26*8760/1000)</f>
        <v>0.58278272419265875</v>
      </c>
      <c r="C34" s="17">
        <f t="shared" ref="C34:E34" si="7">C10/(C26*8760/1000)</f>
        <v>0.65972337390958236</v>
      </c>
      <c r="D34" s="17">
        <f t="shared" si="7"/>
        <v>0.55888508371385093</v>
      </c>
      <c r="E34" s="17">
        <f t="shared" si="7"/>
        <v>0.56897936749534928</v>
      </c>
    </row>
    <row r="35" spans="1:7" x14ac:dyDescent="0.3">
      <c r="A35" t="s">
        <v>0</v>
      </c>
      <c r="B35" s="17">
        <f t="shared" ref="B35:E35" si="8">B11/(B27*8760/1000)</f>
        <v>0.51324661150395645</v>
      </c>
      <c r="C35" s="17">
        <f t="shared" si="8"/>
        <v>0.6488522014129281</v>
      </c>
      <c r="D35" s="17">
        <f t="shared" si="8"/>
        <v>0.69232817538980451</v>
      </c>
      <c r="E35" s="17">
        <f t="shared" si="8"/>
        <v>0.77903356772554089</v>
      </c>
    </row>
    <row r="36" spans="1:7" x14ac:dyDescent="0.3">
      <c r="A36" t="s">
        <v>98</v>
      </c>
      <c r="B36" s="17"/>
      <c r="C36" s="17"/>
      <c r="D36" s="17"/>
      <c r="E36" s="17"/>
    </row>
    <row r="37" spans="1:7" x14ac:dyDescent="0.3">
      <c r="A37" t="s">
        <v>1</v>
      </c>
      <c r="B37" s="17">
        <f t="shared" ref="B37:E37" si="9">B13/(B29*8760/1000)</f>
        <v>0.35321141887441249</v>
      </c>
      <c r="C37" s="17">
        <f t="shared" si="9"/>
        <v>0.36651791330861511</v>
      </c>
      <c r="D37" s="17">
        <f t="shared" si="9"/>
        <v>0.40278116974904343</v>
      </c>
      <c r="E37" s="17">
        <f t="shared" si="9"/>
        <v>0.30289436445066886</v>
      </c>
    </row>
    <row r="38" spans="1:7" x14ac:dyDescent="0.3">
      <c r="A38" t="s">
        <v>94</v>
      </c>
      <c r="B38" s="17">
        <f t="shared" ref="B38:E38" si="10">B14/(B30*8760/1000)</f>
        <v>0.27415081562095306</v>
      </c>
      <c r="C38" s="17">
        <f t="shared" si="10"/>
        <v>0.24610093103243791</v>
      </c>
      <c r="D38" s="17">
        <f t="shared" si="10"/>
        <v>0.32090089662322036</v>
      </c>
      <c r="E38" s="17">
        <f t="shared" si="10"/>
        <v>0.32896103716220898</v>
      </c>
    </row>
    <row r="39" spans="1:7" x14ac:dyDescent="0.3">
      <c r="A39" t="s">
        <v>2</v>
      </c>
      <c r="B39" s="17">
        <f t="shared" ref="B39:E39" si="11">B15/(B31*8760/1000)</f>
        <v>0.19949461364543158</v>
      </c>
      <c r="C39" s="17">
        <f t="shared" si="11"/>
        <v>8.5316029800528714E-2</v>
      </c>
      <c r="D39" s="17">
        <f t="shared" si="11"/>
        <v>7.5645045937173347E-2</v>
      </c>
      <c r="E39" s="17">
        <f t="shared" si="11"/>
        <v>2.9595805851513612E-2</v>
      </c>
    </row>
    <row r="41" spans="1:7" x14ac:dyDescent="0.3">
      <c r="A41" t="s">
        <v>130</v>
      </c>
      <c r="B41">
        <v>2024</v>
      </c>
      <c r="C41">
        <v>2023</v>
      </c>
      <c r="D41">
        <v>2022</v>
      </c>
      <c r="E41">
        <v>2021</v>
      </c>
      <c r="G41" t="s">
        <v>133</v>
      </c>
    </row>
    <row r="42" spans="1:7" x14ac:dyDescent="0.3">
      <c r="A42" t="s">
        <v>0</v>
      </c>
      <c r="B42" s="10">
        <v>7413974.0209999997</v>
      </c>
      <c r="C42" s="10">
        <v>8514775.7050000001</v>
      </c>
      <c r="D42" s="10">
        <v>9180474.6260000002</v>
      </c>
      <c r="E42" s="10">
        <v>10180186.011</v>
      </c>
      <c r="G42" s="22">
        <f>SUM(B42:E42)</f>
        <v>35289410.362999998</v>
      </c>
    </row>
    <row r="43" spans="1:7" x14ac:dyDescent="0.3">
      <c r="A43" t="s">
        <v>76</v>
      </c>
      <c r="B43" s="10">
        <v>5423493.4032849995</v>
      </c>
      <c r="C43" s="10">
        <v>5110627.3803690001</v>
      </c>
      <c r="D43" s="10">
        <v>4573010.725478</v>
      </c>
      <c r="E43" s="10">
        <v>4751508.7792600002</v>
      </c>
      <c r="G43" s="22">
        <f>SUM(B43:E43)</f>
        <v>19858640.288392</v>
      </c>
    </row>
    <row r="44" spans="1:7" x14ac:dyDescent="0.3">
      <c r="A44" t="s">
        <v>81</v>
      </c>
      <c r="B44" s="10">
        <v>12837467.424285</v>
      </c>
      <c r="C44" s="10">
        <v>13625403.085369</v>
      </c>
      <c r="D44" s="10">
        <v>13753485.351477999</v>
      </c>
      <c r="E44" s="10">
        <v>14931694.79026</v>
      </c>
      <c r="G44" s="22">
        <f>SUM(B44:E44)</f>
        <v>55148050.651391998</v>
      </c>
    </row>
    <row r="46" spans="1:7" x14ac:dyDescent="0.3">
      <c r="A46" t="s">
        <v>131</v>
      </c>
    </row>
    <row r="47" spans="1:7" x14ac:dyDescent="0.3">
      <c r="A47" t="s">
        <v>0</v>
      </c>
      <c r="B47" s="22">
        <f>B42/B11</f>
        <v>1187.1855918334668</v>
      </c>
      <c r="C47" s="22">
        <f t="shared" ref="C47:E47" si="12">C42/C11</f>
        <v>1078.5023058898037</v>
      </c>
      <c r="D47" s="22">
        <f t="shared" si="12"/>
        <v>1089.7999318613486</v>
      </c>
      <c r="E47" s="22">
        <f t="shared" si="12"/>
        <v>1073.9725721067623</v>
      </c>
      <c r="G47" s="22">
        <f t="shared" ref="G47" si="13">G42/G11</f>
        <v>1101.3141829104641</v>
      </c>
    </row>
    <row r="48" spans="1:7" x14ac:dyDescent="0.3">
      <c r="A48" t="s">
        <v>76</v>
      </c>
      <c r="B48" s="22">
        <f>B43/B10</f>
        <v>436.46333520722675</v>
      </c>
      <c r="C48" s="22">
        <f t="shared" ref="C48:E48" si="14">C43/C10</f>
        <v>428.24094020186027</v>
      </c>
      <c r="D48" s="22">
        <f t="shared" si="14"/>
        <v>432.43600240926713</v>
      </c>
      <c r="E48" s="22">
        <f t="shared" si="14"/>
        <v>441.34393268251904</v>
      </c>
      <c r="G48" s="22">
        <f t="shared" ref="G48" si="15">G43/G10</f>
        <v>434.53404276475351</v>
      </c>
    </row>
    <row r="50" spans="1:7" x14ac:dyDescent="0.3">
      <c r="A50" t="s">
        <v>132</v>
      </c>
      <c r="B50" s="17">
        <f>B48/B47</f>
        <v>0.36764541130688849</v>
      </c>
      <c r="C50" s="17">
        <f t="shared" ref="C50:E50" si="16">C48/C47</f>
        <v>0.39707002744750358</v>
      </c>
      <c r="D50" s="17">
        <f t="shared" si="16"/>
        <v>0.39680311015497882</v>
      </c>
      <c r="E50" s="17">
        <f t="shared" si="16"/>
        <v>0.41094525516303926</v>
      </c>
      <c r="G50" s="17">
        <f t="shared" ref="G50" si="17">G48/G47</f>
        <v>0.39455956302714823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A861-94DD-4151-8004-DCDE8E6D2266}">
  <dimension ref="A1:L16"/>
  <sheetViews>
    <sheetView workbookViewId="0">
      <selection activeCell="E12" sqref="E12"/>
    </sheetView>
  </sheetViews>
  <sheetFormatPr defaultRowHeight="14.4" x14ac:dyDescent="0.3"/>
  <cols>
    <col min="1" max="1" width="31.109375" customWidth="1"/>
    <col min="5" max="5" width="10.5546875" customWidth="1"/>
    <col min="6" max="6" width="12.77734375" customWidth="1"/>
    <col min="7" max="7" width="11.109375" customWidth="1"/>
    <col min="9" max="9" width="9.33203125" customWidth="1"/>
    <col min="10" max="10" width="9.88671875" customWidth="1"/>
  </cols>
  <sheetData>
    <row r="1" spans="1:12" ht="57.6" customHeight="1" x14ac:dyDescent="0.3">
      <c r="A1" s="4" t="s">
        <v>19</v>
      </c>
      <c r="B1" s="28" t="s">
        <v>147</v>
      </c>
      <c r="C1" s="28" t="s">
        <v>148</v>
      </c>
      <c r="D1" s="28" t="s">
        <v>149</v>
      </c>
      <c r="E1" s="28" t="s">
        <v>150</v>
      </c>
      <c r="F1" s="28" t="s">
        <v>151</v>
      </c>
      <c r="G1" s="28" t="s">
        <v>152</v>
      </c>
      <c r="H1" s="28" t="s">
        <v>155</v>
      </c>
      <c r="I1" s="28" t="s">
        <v>154</v>
      </c>
      <c r="J1" s="28" t="s">
        <v>153</v>
      </c>
    </row>
    <row r="2" spans="1:12" x14ac:dyDescent="0.3">
      <c r="A2" t="s">
        <v>146</v>
      </c>
      <c r="B2">
        <v>2028</v>
      </c>
      <c r="C2">
        <v>627</v>
      </c>
      <c r="D2">
        <v>3</v>
      </c>
      <c r="E2" s="2">
        <v>1086</v>
      </c>
      <c r="F2">
        <v>1</v>
      </c>
      <c r="G2">
        <v>1086</v>
      </c>
      <c r="H2">
        <v>3.49</v>
      </c>
      <c r="I2">
        <v>16.23</v>
      </c>
      <c r="J2">
        <v>6226</v>
      </c>
    </row>
    <row r="3" spans="1:12" x14ac:dyDescent="0.3">
      <c r="A3" t="s">
        <v>156</v>
      </c>
      <c r="B3">
        <v>2027</v>
      </c>
      <c r="C3">
        <v>419</v>
      </c>
      <c r="D3">
        <v>2</v>
      </c>
      <c r="E3" s="2">
        <v>1158</v>
      </c>
      <c r="F3">
        <v>1</v>
      </c>
      <c r="G3">
        <v>1158</v>
      </c>
      <c r="H3">
        <v>4.17</v>
      </c>
      <c r="I3">
        <v>7.18</v>
      </c>
      <c r="J3">
        <v>9142</v>
      </c>
    </row>
    <row r="4" spans="1:12" x14ac:dyDescent="0.3">
      <c r="A4" t="s">
        <v>158</v>
      </c>
      <c r="B4">
        <v>2031</v>
      </c>
      <c r="C4">
        <v>2156</v>
      </c>
      <c r="D4">
        <v>6</v>
      </c>
      <c r="E4" s="2">
        <v>7862</v>
      </c>
      <c r="F4">
        <v>1.05</v>
      </c>
      <c r="G4">
        <v>8255</v>
      </c>
      <c r="H4">
        <v>2.62</v>
      </c>
      <c r="I4">
        <v>163.4</v>
      </c>
      <c r="J4">
        <v>10445</v>
      </c>
    </row>
    <row r="5" spans="1:12" x14ac:dyDescent="0.3">
      <c r="A5" t="s">
        <v>157</v>
      </c>
      <c r="B5">
        <v>2031</v>
      </c>
      <c r="C5">
        <v>480</v>
      </c>
      <c r="D5">
        <v>6</v>
      </c>
      <c r="E5" s="2">
        <v>8937</v>
      </c>
      <c r="F5">
        <v>1.1000000000000001</v>
      </c>
      <c r="G5">
        <v>9831</v>
      </c>
      <c r="H5">
        <v>3.32</v>
      </c>
      <c r="I5">
        <v>127.62</v>
      </c>
      <c r="J5">
        <v>10445</v>
      </c>
    </row>
    <row r="6" spans="1:12" x14ac:dyDescent="0.3">
      <c r="A6" t="s">
        <v>1</v>
      </c>
      <c r="B6">
        <v>2028</v>
      </c>
      <c r="C6">
        <v>200</v>
      </c>
      <c r="D6">
        <v>3</v>
      </c>
      <c r="E6" s="2">
        <v>1502</v>
      </c>
      <c r="F6">
        <v>1</v>
      </c>
      <c r="G6">
        <v>1712</v>
      </c>
      <c r="H6">
        <v>0</v>
      </c>
      <c r="I6">
        <v>34.57</v>
      </c>
      <c r="J6">
        <v>3412</v>
      </c>
      <c r="L6">
        <v>1712</v>
      </c>
    </row>
    <row r="7" spans="1:12" x14ac:dyDescent="0.3">
      <c r="A7" t="s">
        <v>159</v>
      </c>
      <c r="B7">
        <v>2027</v>
      </c>
      <c r="C7">
        <v>150</v>
      </c>
      <c r="D7">
        <v>2</v>
      </c>
      <c r="E7" s="2">
        <v>1396</v>
      </c>
      <c r="F7">
        <v>1</v>
      </c>
      <c r="G7">
        <v>1484</v>
      </c>
      <c r="H7">
        <v>0</v>
      </c>
      <c r="I7">
        <v>23.6</v>
      </c>
      <c r="J7">
        <v>3412</v>
      </c>
      <c r="L7">
        <v>1484</v>
      </c>
    </row>
    <row r="9" spans="1:12" x14ac:dyDescent="0.3">
      <c r="A9" s="4" t="s">
        <v>160</v>
      </c>
      <c r="B9">
        <v>1.3751</v>
      </c>
      <c r="C9" t="s">
        <v>161</v>
      </c>
    </row>
    <row r="10" spans="1:12" ht="72" x14ac:dyDescent="0.3">
      <c r="A10" s="4" t="s">
        <v>19</v>
      </c>
      <c r="B10" s="28" t="s">
        <v>147</v>
      </c>
      <c r="C10" s="28" t="s">
        <v>148</v>
      </c>
      <c r="D10" s="28" t="s">
        <v>149</v>
      </c>
      <c r="E10" s="28" t="s">
        <v>150</v>
      </c>
      <c r="F10" s="28" t="s">
        <v>151</v>
      </c>
      <c r="G10" s="28" t="s">
        <v>152</v>
      </c>
      <c r="H10" s="28" t="s">
        <v>155</v>
      </c>
      <c r="I10" s="28" t="s">
        <v>154</v>
      </c>
      <c r="J10" s="28" t="s">
        <v>153</v>
      </c>
    </row>
    <row r="11" spans="1:12" x14ac:dyDescent="0.3">
      <c r="A11" t="s">
        <v>146</v>
      </c>
      <c r="B11">
        <v>2028</v>
      </c>
      <c r="C11">
        <v>627</v>
      </c>
      <c r="D11">
        <v>3</v>
      </c>
      <c r="E11" s="2">
        <f>E2*$B$9</f>
        <v>1493.3586</v>
      </c>
      <c r="F11">
        <v>1</v>
      </c>
      <c r="G11" s="2">
        <f>G2*$B$9</f>
        <v>1493.3586</v>
      </c>
      <c r="H11" s="27">
        <f>H2*$B$9</f>
        <v>4.799099</v>
      </c>
      <c r="I11" s="27">
        <f>I2*$B$9</f>
        <v>22.317872999999999</v>
      </c>
      <c r="J11">
        <v>6226</v>
      </c>
    </row>
    <row r="12" spans="1:12" x14ac:dyDescent="0.3">
      <c r="A12" t="s">
        <v>156</v>
      </c>
      <c r="B12">
        <v>2027</v>
      </c>
      <c r="C12">
        <v>419</v>
      </c>
      <c r="D12">
        <v>2</v>
      </c>
      <c r="E12" s="2">
        <f t="shared" ref="E12:G16" si="0">E3*$B$9</f>
        <v>1592.3658</v>
      </c>
      <c r="F12">
        <v>1</v>
      </c>
      <c r="G12" s="2">
        <f t="shared" si="0"/>
        <v>1592.3658</v>
      </c>
      <c r="H12" s="27">
        <f t="shared" ref="H12:I12" si="1">H3*$B$9</f>
        <v>5.7341670000000002</v>
      </c>
      <c r="I12" s="27">
        <f t="shared" si="1"/>
        <v>9.8732179999999996</v>
      </c>
      <c r="J12">
        <v>9142</v>
      </c>
    </row>
    <row r="13" spans="1:12" x14ac:dyDescent="0.3">
      <c r="A13" t="s">
        <v>158</v>
      </c>
      <c r="B13">
        <v>2031</v>
      </c>
      <c r="C13">
        <v>2156</v>
      </c>
      <c r="D13">
        <v>6</v>
      </c>
      <c r="E13" s="2">
        <f t="shared" si="0"/>
        <v>10811.0362</v>
      </c>
      <c r="F13">
        <v>1.05</v>
      </c>
      <c r="G13" s="2">
        <f t="shared" si="0"/>
        <v>11351.450499999999</v>
      </c>
      <c r="H13" s="27">
        <f t="shared" ref="H13:I13" si="2">H4*$B$9</f>
        <v>3.6027620000000002</v>
      </c>
      <c r="I13" s="27">
        <f t="shared" si="2"/>
        <v>224.69134</v>
      </c>
      <c r="J13">
        <v>10445</v>
      </c>
    </row>
    <row r="14" spans="1:12" x14ac:dyDescent="0.3">
      <c r="A14" t="s">
        <v>157</v>
      </c>
      <c r="B14">
        <v>2031</v>
      </c>
      <c r="C14">
        <v>480</v>
      </c>
      <c r="D14">
        <v>6</v>
      </c>
      <c r="E14" s="2">
        <f t="shared" si="0"/>
        <v>12289.268700000001</v>
      </c>
      <c r="F14">
        <v>1.1000000000000001</v>
      </c>
      <c r="G14" s="2">
        <f t="shared" si="0"/>
        <v>13518.608099999999</v>
      </c>
      <c r="H14" s="27">
        <f t="shared" ref="H14:I14" si="3">H5*$B$9</f>
        <v>4.5653319999999997</v>
      </c>
      <c r="I14" s="27">
        <f t="shared" si="3"/>
        <v>175.490262</v>
      </c>
      <c r="J14">
        <v>10445</v>
      </c>
    </row>
    <row r="15" spans="1:12" x14ac:dyDescent="0.3">
      <c r="A15" t="s">
        <v>1</v>
      </c>
      <c r="B15">
        <v>2028</v>
      </c>
      <c r="C15">
        <v>200</v>
      </c>
      <c r="D15">
        <v>3</v>
      </c>
      <c r="E15" s="2">
        <f t="shared" si="0"/>
        <v>2065.4002</v>
      </c>
      <c r="F15">
        <v>1</v>
      </c>
      <c r="G15" s="2">
        <f t="shared" si="0"/>
        <v>2354.1711999999998</v>
      </c>
      <c r="H15" s="27">
        <f t="shared" ref="H15:I15" si="4">H6*$B$9</f>
        <v>0</v>
      </c>
      <c r="I15" s="27">
        <f t="shared" si="4"/>
        <v>47.537207000000002</v>
      </c>
      <c r="J15">
        <v>3412</v>
      </c>
    </row>
    <row r="16" spans="1:12" x14ac:dyDescent="0.3">
      <c r="A16" t="s">
        <v>159</v>
      </c>
      <c r="B16">
        <v>2027</v>
      </c>
      <c r="C16">
        <v>150</v>
      </c>
      <c r="D16">
        <v>2</v>
      </c>
      <c r="E16" s="2">
        <f t="shared" si="0"/>
        <v>1919.6396</v>
      </c>
      <c r="F16">
        <v>1</v>
      </c>
      <c r="G16" s="2">
        <f t="shared" si="0"/>
        <v>2040.6484</v>
      </c>
      <c r="H16" s="27">
        <f t="shared" ref="H16:I16" si="5">H7*$B$9</f>
        <v>0</v>
      </c>
      <c r="I16" s="27">
        <f t="shared" si="5"/>
        <v>32.452359999999999</v>
      </c>
      <c r="J16">
        <v>3412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2F31-B080-446E-8F86-3E2F3D406B8A}">
  <dimension ref="B1:D7"/>
  <sheetViews>
    <sheetView workbookViewId="0">
      <selection activeCell="C3" sqref="C3"/>
    </sheetView>
  </sheetViews>
  <sheetFormatPr defaultRowHeight="14.4" x14ac:dyDescent="0.3"/>
  <cols>
    <col min="2" max="2" width="10.88671875" customWidth="1"/>
    <col min="3" max="3" width="15.6640625" customWidth="1"/>
    <col min="4" max="4" width="16.88671875" customWidth="1"/>
  </cols>
  <sheetData>
    <row r="1" spans="2:4" x14ac:dyDescent="0.3">
      <c r="C1" t="s">
        <v>141</v>
      </c>
      <c r="D1" t="s">
        <v>143</v>
      </c>
    </row>
    <row r="2" spans="2:4" x14ac:dyDescent="0.3">
      <c r="B2" t="s">
        <v>140</v>
      </c>
      <c r="C2">
        <v>6226</v>
      </c>
      <c r="D2">
        <v>9447</v>
      </c>
    </row>
    <row r="3" spans="2:4" x14ac:dyDescent="0.3">
      <c r="B3" t="s">
        <v>142</v>
      </c>
      <c r="C3">
        <v>3412</v>
      </c>
      <c r="D3">
        <v>3412</v>
      </c>
    </row>
    <row r="4" spans="2:4" x14ac:dyDescent="0.3">
      <c r="B4" t="s">
        <v>48</v>
      </c>
      <c r="C4" s="26">
        <f>C3/C2</f>
        <v>0.5480244137487954</v>
      </c>
      <c r="D4" s="26">
        <f>D3/D2</f>
        <v>0.36117285910871177</v>
      </c>
    </row>
    <row r="6" spans="2:4" x14ac:dyDescent="0.3">
      <c r="B6" t="s">
        <v>145</v>
      </c>
    </row>
    <row r="7" spans="2:4" x14ac:dyDescent="0.3">
      <c r="B7" t="s">
        <v>144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6EF85-6062-403B-ACA2-FD4BD6B53700}">
  <dimension ref="A1:X60"/>
  <sheetViews>
    <sheetView workbookViewId="0">
      <selection sqref="A1:B16"/>
    </sheetView>
  </sheetViews>
  <sheetFormatPr defaultRowHeight="14.4" x14ac:dyDescent="0.3"/>
  <cols>
    <col min="2" max="2" width="12.77734375" customWidth="1"/>
    <col min="3" max="4" width="21" customWidth="1"/>
    <col min="5" max="5" width="17.21875" customWidth="1"/>
    <col min="6" max="6" width="14.5546875" customWidth="1"/>
    <col min="7" max="7" width="11.77734375" customWidth="1"/>
    <col min="8" max="8" width="10.88671875" customWidth="1"/>
    <col min="9" max="9" width="15.88671875" customWidth="1"/>
    <col min="11" max="11" width="20.109375" customWidth="1"/>
    <col min="12" max="12" width="28.44140625" customWidth="1"/>
    <col min="13" max="13" width="24" customWidth="1"/>
    <col min="14" max="14" width="15.88671875" customWidth="1"/>
    <col min="15" max="15" width="10.109375" customWidth="1"/>
    <col min="16" max="16" width="11.77734375" customWidth="1"/>
    <col min="17" max="17" width="15.6640625" customWidth="1"/>
    <col min="18" max="18" width="11.77734375" customWidth="1"/>
    <col min="19" max="19" width="27.5546875" customWidth="1"/>
    <col min="20" max="20" width="21.109375" customWidth="1"/>
    <col min="21" max="21" width="15.44140625" customWidth="1"/>
    <col min="22" max="22" width="11.44140625" customWidth="1"/>
    <col min="23" max="23" width="12.44140625" customWidth="1"/>
  </cols>
  <sheetData>
    <row r="1" spans="1:24" x14ac:dyDescent="0.3">
      <c r="A1" t="s">
        <v>41</v>
      </c>
      <c r="B1" t="s">
        <v>4</v>
      </c>
      <c r="C1" t="s">
        <v>165</v>
      </c>
      <c r="D1" t="s">
        <v>167</v>
      </c>
      <c r="E1" t="s">
        <v>168</v>
      </c>
      <c r="F1" t="s">
        <v>169</v>
      </c>
      <c r="G1" t="s">
        <v>170</v>
      </c>
      <c r="H1" t="s">
        <v>174</v>
      </c>
      <c r="I1" t="s">
        <v>175</v>
      </c>
      <c r="J1" t="s">
        <v>41</v>
      </c>
      <c r="K1" t="s">
        <v>176</v>
      </c>
      <c r="L1" t="s">
        <v>178</v>
      </c>
      <c r="M1" t="s">
        <v>177</v>
      </c>
      <c r="N1" t="s">
        <v>169</v>
      </c>
      <c r="O1" t="s">
        <v>170</v>
      </c>
      <c r="P1" t="s">
        <v>174</v>
      </c>
      <c r="Q1" t="s">
        <v>175</v>
      </c>
      <c r="R1" t="s">
        <v>176</v>
      </c>
      <c r="S1" t="s">
        <v>180</v>
      </c>
      <c r="T1" t="s">
        <v>181</v>
      </c>
      <c r="U1" t="s">
        <v>169</v>
      </c>
      <c r="V1" t="s">
        <v>170</v>
      </c>
      <c r="W1" t="s">
        <v>174</v>
      </c>
      <c r="X1" t="s">
        <v>175</v>
      </c>
    </row>
    <row r="2" spans="1:24" x14ac:dyDescent="0.3">
      <c r="A2">
        <v>2026</v>
      </c>
      <c r="B2">
        <v>95</v>
      </c>
      <c r="C2">
        <v>482</v>
      </c>
      <c r="D2">
        <v>1080</v>
      </c>
      <c r="E2" s="14">
        <f>'Scenario calculation'!$B$39</f>
        <v>12.3841872</v>
      </c>
      <c r="F2" s="17">
        <f>(D2-C2)/D2</f>
        <v>0.5537037037037037</v>
      </c>
      <c r="G2" s="1">
        <f>E2*F2*B2</f>
        <v>651.43118040000002</v>
      </c>
      <c r="H2" s="13">
        <v>0.02</v>
      </c>
      <c r="I2" s="15">
        <f>G2/(1+H2)^(A2-A$2)</f>
        <v>651.43118040000002</v>
      </c>
      <c r="J2">
        <v>2026</v>
      </c>
      <c r="K2">
        <v>164</v>
      </c>
      <c r="L2" s="1">
        <f>'Scenario calculation'!$D$37</f>
        <v>324.05063291139243</v>
      </c>
      <c r="M2" s="14">
        <f>'Scenario calculation'!$G$39</f>
        <v>2.18294764556962</v>
      </c>
      <c r="N2" s="17">
        <f>(L2-K2)/L2</f>
        <v>0.49390625000000005</v>
      </c>
      <c r="O2" s="1">
        <f>M2*N2*$B2</f>
        <v>102.42629112911392</v>
      </c>
      <c r="P2" s="13">
        <v>0.02</v>
      </c>
      <c r="Q2" s="15">
        <f>O2/(1+P2)^($J2-$J$2)</f>
        <v>102.42629112911392</v>
      </c>
      <c r="R2">
        <v>164</v>
      </c>
      <c r="S2" s="1">
        <f>'Scenario calculation'!$P$37</f>
        <v>499.57805907172997</v>
      </c>
      <c r="T2" s="14">
        <f>'Scenario calculation'!$S$39</f>
        <v>2.5776429367088607</v>
      </c>
      <c r="U2" s="17">
        <f>(S2-R2)/S2</f>
        <v>0.67172297297297301</v>
      </c>
      <c r="V2" s="1">
        <f>T2*U2*$B2</f>
        <v>164.48888778734178</v>
      </c>
      <c r="W2" s="13">
        <v>0.02</v>
      </c>
      <c r="X2" s="15">
        <f>V2/(1+W2)^($J2-$J$2)</f>
        <v>164.48888778734178</v>
      </c>
    </row>
    <row r="3" spans="1:24" x14ac:dyDescent="0.3">
      <c r="A3">
        <v>2027</v>
      </c>
      <c r="B3">
        <v>100</v>
      </c>
      <c r="C3">
        <v>454</v>
      </c>
      <c r="D3">
        <v>1080</v>
      </c>
      <c r="E3" s="14">
        <f>'Scenario calculation'!$B$39</f>
        <v>12.3841872</v>
      </c>
      <c r="F3" s="17">
        <f t="shared" ref="F3:F25" si="0">(D3-C3)/D3</f>
        <v>0.57962962962962961</v>
      </c>
      <c r="G3" s="1">
        <f t="shared" ref="G3:G25" si="1">E3*F3*B3</f>
        <v>717.82418399999995</v>
      </c>
      <c r="H3" s="13">
        <v>0.02</v>
      </c>
      <c r="I3" s="15">
        <f>G3/(1+H3)^(A3-A$2)</f>
        <v>703.74919999999997</v>
      </c>
      <c r="J3">
        <v>2027</v>
      </c>
      <c r="K3">
        <v>123</v>
      </c>
      <c r="L3" s="1">
        <f>'Scenario calculation'!$D$37</f>
        <v>324.05063291139243</v>
      </c>
      <c r="M3" s="14">
        <f>'Scenario calculation'!$G$39</f>
        <v>2.18294764556962</v>
      </c>
      <c r="N3" s="17">
        <f t="shared" ref="N3:N25" si="2">(L3-K3)/L3</f>
        <v>0.62042968750000005</v>
      </c>
      <c r="O3" s="1">
        <f t="shared" ref="O3:O25" si="3">M3*N3*$B3</f>
        <v>135.436552556962</v>
      </c>
      <c r="P3" s="13">
        <v>0.02</v>
      </c>
      <c r="Q3" s="15">
        <f t="shared" ref="Q3:Q25" si="4">O3/(1+P3)^(J3-J$2)</f>
        <v>132.78093387937452</v>
      </c>
      <c r="R3">
        <v>123</v>
      </c>
      <c r="S3" s="1">
        <f>'Scenario calculation'!$P$37</f>
        <v>499.57805907172997</v>
      </c>
      <c r="T3" s="14">
        <f>'Scenario calculation'!$S$39</f>
        <v>2.5776429367088607</v>
      </c>
      <c r="U3" s="17">
        <f t="shared" ref="U3:U25" si="5">(S3-R3)/S3</f>
        <v>0.7537922297297297</v>
      </c>
      <c r="V3" s="1">
        <f t="shared" ref="V3:V25" si="6">T3*U3*$B3</f>
        <v>194.30072167088605</v>
      </c>
      <c r="W3" s="13">
        <v>0.02</v>
      </c>
      <c r="X3" s="15">
        <f t="shared" ref="X3:X25" si="7">V3/(1+W3)^($J3-$J$2)</f>
        <v>190.49090359890789</v>
      </c>
    </row>
    <row r="4" spans="1:24" x14ac:dyDescent="0.3">
      <c r="A4">
        <v>2028</v>
      </c>
      <c r="B4">
        <v>100</v>
      </c>
      <c r="C4">
        <v>426</v>
      </c>
      <c r="D4">
        <v>1080</v>
      </c>
      <c r="E4" s="14">
        <f>'Scenario calculation'!$B$39</f>
        <v>12.3841872</v>
      </c>
      <c r="F4" s="17">
        <f t="shared" si="0"/>
        <v>0.60555555555555551</v>
      </c>
      <c r="G4" s="1">
        <f t="shared" si="1"/>
        <v>749.93133599999999</v>
      </c>
      <c r="H4" s="13">
        <v>0.02</v>
      </c>
      <c r="I4" s="15">
        <f t="shared" ref="I4:I25" si="8">G4/(1+H4)^(A4-A$2)</f>
        <v>720.81058823529406</v>
      </c>
      <c r="J4">
        <v>2028</v>
      </c>
      <c r="K4">
        <v>82</v>
      </c>
      <c r="L4" s="1">
        <f>'Scenario calculation'!$D$37</f>
        <v>324.05063291139243</v>
      </c>
      <c r="M4" s="14">
        <f>'Scenario calculation'!$G$39</f>
        <v>2.18294764556962</v>
      </c>
      <c r="N4" s="17">
        <f t="shared" si="2"/>
        <v>0.746953125</v>
      </c>
      <c r="O4" s="1">
        <f t="shared" si="3"/>
        <v>163.055956556962</v>
      </c>
      <c r="P4" s="13">
        <v>0.02</v>
      </c>
      <c r="Q4" s="15">
        <f t="shared" si="4"/>
        <v>156.72429503744905</v>
      </c>
      <c r="R4">
        <v>82</v>
      </c>
      <c r="S4" s="1">
        <f>'Scenario calculation'!$P$37</f>
        <v>499.57805907172997</v>
      </c>
      <c r="T4" s="14">
        <f>'Scenario calculation'!$S$39</f>
        <v>2.5776429367088607</v>
      </c>
      <c r="U4" s="17">
        <f t="shared" si="5"/>
        <v>0.8358614864864865</v>
      </c>
      <c r="V4" s="1">
        <f t="shared" si="6"/>
        <v>215.45524567088609</v>
      </c>
      <c r="W4" s="13">
        <v>0.02</v>
      </c>
      <c r="X4" s="15">
        <f t="shared" si="7"/>
        <v>207.0888558928163</v>
      </c>
    </row>
    <row r="5" spans="1:24" x14ac:dyDescent="0.3">
      <c r="A5">
        <v>2029</v>
      </c>
      <c r="B5">
        <v>100</v>
      </c>
      <c r="C5">
        <v>398</v>
      </c>
      <c r="D5">
        <v>1080</v>
      </c>
      <c r="E5" s="14">
        <f>'Scenario calculation'!$B$39</f>
        <v>12.3841872</v>
      </c>
      <c r="F5" s="17">
        <f t="shared" si="0"/>
        <v>0.63148148148148153</v>
      </c>
      <c r="G5" s="1">
        <f t="shared" si="1"/>
        <v>782.03848800000003</v>
      </c>
      <c r="H5" s="13">
        <v>0.02</v>
      </c>
      <c r="I5" s="15">
        <f t="shared" si="8"/>
        <v>736.93233371780093</v>
      </c>
      <c r="J5">
        <v>2029</v>
      </c>
      <c r="K5">
        <v>41</v>
      </c>
      <c r="L5" s="1">
        <f>'Scenario calculation'!$D$37</f>
        <v>324.05063291139243</v>
      </c>
      <c r="M5" s="14">
        <f>'Scenario calculation'!$G$39</f>
        <v>2.18294764556962</v>
      </c>
      <c r="N5" s="17">
        <f t="shared" si="2"/>
        <v>0.87347656250000005</v>
      </c>
      <c r="O5" s="1">
        <f t="shared" si="3"/>
        <v>190.675360556962</v>
      </c>
      <c r="P5" s="13">
        <v>0.02</v>
      </c>
      <c r="Q5" s="15">
        <f t="shared" si="4"/>
        <v>179.67765090063588</v>
      </c>
      <c r="R5">
        <v>41</v>
      </c>
      <c r="S5" s="1">
        <f>'Scenario calculation'!$P$37</f>
        <v>499.57805907172997</v>
      </c>
      <c r="T5" s="14">
        <f>'Scenario calculation'!$S$39</f>
        <v>2.5776429367088607</v>
      </c>
      <c r="U5" s="17">
        <f t="shared" si="5"/>
        <v>0.9179307432432432</v>
      </c>
      <c r="V5" s="1">
        <f t="shared" si="6"/>
        <v>236.60976967088607</v>
      </c>
      <c r="W5" s="13">
        <v>0.02</v>
      </c>
      <c r="X5" s="15">
        <f t="shared" si="7"/>
        <v>222.96267053290785</v>
      </c>
    </row>
    <row r="6" spans="1:24" x14ac:dyDescent="0.3">
      <c r="A6">
        <v>2030</v>
      </c>
      <c r="B6">
        <v>115</v>
      </c>
      <c r="C6">
        <v>370</v>
      </c>
      <c r="D6">
        <v>1080</v>
      </c>
      <c r="E6" s="14">
        <f>'Scenario calculation'!$B$39</f>
        <v>12.3841872</v>
      </c>
      <c r="F6" s="17">
        <f t="shared" si="0"/>
        <v>0.65740740740740744</v>
      </c>
      <c r="G6" s="1">
        <f t="shared" si="1"/>
        <v>936.26748600000008</v>
      </c>
      <c r="H6" s="13">
        <v>0.02</v>
      </c>
      <c r="I6" s="15">
        <f t="shared" si="8"/>
        <v>864.96643447844349</v>
      </c>
      <c r="J6">
        <v>2030</v>
      </c>
      <c r="K6">
        <v>0</v>
      </c>
      <c r="L6" s="1">
        <f>'Scenario calculation'!$D$37</f>
        <v>324.05063291139243</v>
      </c>
      <c r="M6" s="14">
        <f>'Scenario calculation'!$G$39</f>
        <v>2.18294764556962</v>
      </c>
      <c r="N6" s="17">
        <f t="shared" si="2"/>
        <v>1</v>
      </c>
      <c r="O6" s="1">
        <f t="shared" si="3"/>
        <v>251.03897924050631</v>
      </c>
      <c r="P6" s="13">
        <v>0.02</v>
      </c>
      <c r="Q6" s="15">
        <f t="shared" si="4"/>
        <v>231.92121272570682</v>
      </c>
      <c r="R6">
        <v>0</v>
      </c>
      <c r="S6" s="1">
        <f>'Scenario calculation'!$P$37</f>
        <v>499.57805907172997</v>
      </c>
      <c r="T6" s="14">
        <f>'Scenario calculation'!$S$39</f>
        <v>2.5776429367088607</v>
      </c>
      <c r="U6" s="17">
        <f t="shared" si="5"/>
        <v>1</v>
      </c>
      <c r="V6" s="1">
        <f t="shared" si="6"/>
        <v>296.42893772151899</v>
      </c>
      <c r="W6" s="13">
        <v>0.02</v>
      </c>
      <c r="X6" s="15">
        <f t="shared" si="7"/>
        <v>273.85451825592378</v>
      </c>
    </row>
    <row r="7" spans="1:24" x14ac:dyDescent="0.3">
      <c r="A7">
        <v>2031</v>
      </c>
      <c r="B7">
        <v>118</v>
      </c>
      <c r="C7">
        <v>370</v>
      </c>
      <c r="D7">
        <v>1080</v>
      </c>
      <c r="E7" s="14">
        <f>'Scenario calculation'!$B$39</f>
        <v>12.3841872</v>
      </c>
      <c r="F7" s="17">
        <f t="shared" si="0"/>
        <v>0.65740740740740744</v>
      </c>
      <c r="G7" s="1">
        <f t="shared" si="1"/>
        <v>960.69185520000008</v>
      </c>
      <c r="H7" s="13">
        <v>0.02</v>
      </c>
      <c r="I7" s="15">
        <f t="shared" si="8"/>
        <v>870.12821200730036</v>
      </c>
      <c r="J7">
        <v>2031</v>
      </c>
      <c r="K7">
        <v>0</v>
      </c>
      <c r="L7" s="1">
        <f>'Scenario calculation'!$D$37</f>
        <v>324.05063291139243</v>
      </c>
      <c r="M7" s="14">
        <f>'Scenario calculation'!$G$39</f>
        <v>2.18294764556962</v>
      </c>
      <c r="N7" s="17">
        <f t="shared" si="2"/>
        <v>1</v>
      </c>
      <c r="O7" s="1">
        <f t="shared" si="3"/>
        <v>257.58782217721517</v>
      </c>
      <c r="P7" s="13">
        <v>0.02</v>
      </c>
      <c r="Q7" s="15">
        <f t="shared" si="4"/>
        <v>233.30522678289347</v>
      </c>
      <c r="R7">
        <v>0</v>
      </c>
      <c r="S7" s="1">
        <f>'Scenario calculation'!$P$37</f>
        <v>499.57805907172997</v>
      </c>
      <c r="T7" s="14">
        <f>'Scenario calculation'!$S$39</f>
        <v>2.5776429367088607</v>
      </c>
      <c r="U7" s="17">
        <f t="shared" si="5"/>
        <v>1</v>
      </c>
      <c r="V7" s="1">
        <f t="shared" si="6"/>
        <v>304.16186653164556</v>
      </c>
      <c r="W7" s="13">
        <v>0.02</v>
      </c>
      <c r="X7" s="15">
        <f t="shared" si="7"/>
        <v>275.4887736930861</v>
      </c>
    </row>
    <row r="8" spans="1:24" x14ac:dyDescent="0.3">
      <c r="A8">
        <v>2032</v>
      </c>
      <c r="B8">
        <v>121</v>
      </c>
      <c r="C8">
        <v>370</v>
      </c>
      <c r="D8">
        <v>1080</v>
      </c>
      <c r="E8" s="14">
        <f>'Scenario calculation'!$B$39</f>
        <v>12.3841872</v>
      </c>
      <c r="F8" s="17">
        <f t="shared" si="0"/>
        <v>0.65740740740740744</v>
      </c>
      <c r="G8" s="1">
        <f t="shared" si="1"/>
        <v>985.11622440000008</v>
      </c>
      <c r="H8" s="13">
        <v>0.02</v>
      </c>
      <c r="I8" s="15">
        <f t="shared" si="8"/>
        <v>874.75501539451091</v>
      </c>
      <c r="J8">
        <v>2032</v>
      </c>
      <c r="K8">
        <v>0</v>
      </c>
      <c r="L8" s="1">
        <f>'Scenario calculation'!$D$37</f>
        <v>324.05063291139243</v>
      </c>
      <c r="M8" s="14">
        <f>'Scenario calculation'!$G$39</f>
        <v>2.18294764556962</v>
      </c>
      <c r="N8" s="17">
        <f t="shared" si="2"/>
        <v>1</v>
      </c>
      <c r="O8" s="1">
        <f t="shared" si="3"/>
        <v>264.13666511392404</v>
      </c>
      <c r="P8" s="13">
        <v>0.02</v>
      </c>
      <c r="Q8" s="15">
        <f t="shared" si="4"/>
        <v>234.54579960726244</v>
      </c>
      <c r="R8">
        <v>0</v>
      </c>
      <c r="S8" s="1">
        <f>'Scenario calculation'!$P$37</f>
        <v>499.57805907172997</v>
      </c>
      <c r="T8" s="14">
        <f>'Scenario calculation'!$S$39</f>
        <v>2.5776429367088607</v>
      </c>
      <c r="U8" s="17">
        <f t="shared" si="5"/>
        <v>1</v>
      </c>
      <c r="V8" s="1">
        <f t="shared" si="6"/>
        <v>311.89479534177212</v>
      </c>
      <c r="W8" s="13">
        <v>0.02</v>
      </c>
      <c r="X8" s="15">
        <f t="shared" si="7"/>
        <v>276.95365251631284</v>
      </c>
    </row>
    <row r="9" spans="1:24" x14ac:dyDescent="0.3">
      <c r="A9">
        <v>2033</v>
      </c>
      <c r="B9">
        <v>124</v>
      </c>
      <c r="C9">
        <v>370</v>
      </c>
      <c r="D9">
        <v>1080</v>
      </c>
      <c r="E9" s="14">
        <f>'Scenario calculation'!$B$39</f>
        <v>12.3841872</v>
      </c>
      <c r="F9" s="17">
        <f t="shared" si="0"/>
        <v>0.65740740740740744</v>
      </c>
      <c r="G9" s="1">
        <f t="shared" si="1"/>
        <v>1009.5405936000001</v>
      </c>
      <c r="H9" s="13">
        <v>0.02</v>
      </c>
      <c r="I9" s="15">
        <f t="shared" si="8"/>
        <v>878.86583948241275</v>
      </c>
      <c r="J9">
        <v>2033</v>
      </c>
      <c r="K9">
        <v>0</v>
      </c>
      <c r="L9" s="1">
        <f>'Scenario calculation'!$D$37</f>
        <v>324.05063291139243</v>
      </c>
      <c r="M9" s="14">
        <f>'Scenario calculation'!$G$39</f>
        <v>2.18294764556962</v>
      </c>
      <c r="N9" s="17">
        <f t="shared" si="2"/>
        <v>1</v>
      </c>
      <c r="O9" s="1">
        <f t="shared" si="3"/>
        <v>270.68550805063285</v>
      </c>
      <c r="P9" s="13">
        <v>0.02</v>
      </c>
      <c r="Q9" s="15">
        <f t="shared" si="4"/>
        <v>235.64802423675695</v>
      </c>
      <c r="R9">
        <v>0</v>
      </c>
      <c r="S9" s="1">
        <f>'Scenario calculation'!$P$37</f>
        <v>499.57805907172997</v>
      </c>
      <c r="T9" s="14">
        <f>'Scenario calculation'!$S$39</f>
        <v>2.5776429367088607</v>
      </c>
      <c r="U9" s="17">
        <f t="shared" si="5"/>
        <v>1</v>
      </c>
      <c r="V9" s="1">
        <f t="shared" si="6"/>
        <v>319.62772415189875</v>
      </c>
      <c r="W9" s="13">
        <v>0.02</v>
      </c>
      <c r="X9" s="15">
        <f t="shared" si="7"/>
        <v>278.25516862763578</v>
      </c>
    </row>
    <row r="10" spans="1:24" x14ac:dyDescent="0.3">
      <c r="A10">
        <v>2034</v>
      </c>
      <c r="B10">
        <v>127</v>
      </c>
      <c r="C10">
        <v>370</v>
      </c>
      <c r="D10">
        <v>1080</v>
      </c>
      <c r="E10" s="14">
        <f>'Scenario calculation'!$B$39</f>
        <v>12.3841872</v>
      </c>
      <c r="F10" s="17">
        <f t="shared" si="0"/>
        <v>0.65740740740740744</v>
      </c>
      <c r="G10" s="1">
        <f t="shared" si="1"/>
        <v>1033.9649628000002</v>
      </c>
      <c r="H10" s="13">
        <v>0.02</v>
      </c>
      <c r="I10" s="15">
        <f t="shared" si="8"/>
        <v>882.47913989774213</v>
      </c>
      <c r="J10">
        <v>2034</v>
      </c>
      <c r="K10">
        <v>0</v>
      </c>
      <c r="L10" s="1">
        <f>'Scenario calculation'!$D$37</f>
        <v>324.05063291139243</v>
      </c>
      <c r="M10" s="14">
        <f>'Scenario calculation'!$G$39</f>
        <v>2.18294764556962</v>
      </c>
      <c r="N10" s="17">
        <f t="shared" si="2"/>
        <v>1</v>
      </c>
      <c r="O10" s="1">
        <f t="shared" si="3"/>
        <v>277.23435098734171</v>
      </c>
      <c r="P10" s="13">
        <v>0.02</v>
      </c>
      <c r="Q10" s="15">
        <f t="shared" si="4"/>
        <v>236.61684913083596</v>
      </c>
      <c r="R10">
        <v>0</v>
      </c>
      <c r="S10" s="1">
        <f>'Scenario calculation'!$P$37</f>
        <v>499.57805907172997</v>
      </c>
      <c r="T10" s="14">
        <f>'Scenario calculation'!$S$39</f>
        <v>2.5776429367088607</v>
      </c>
      <c r="U10" s="17">
        <f t="shared" si="5"/>
        <v>1</v>
      </c>
      <c r="V10" s="1">
        <f t="shared" si="6"/>
        <v>327.36065296202531</v>
      </c>
      <c r="W10" s="13">
        <v>0.02</v>
      </c>
      <c r="X10" s="15">
        <f t="shared" si="7"/>
        <v>279.39916520959628</v>
      </c>
    </row>
    <row r="11" spans="1:24" x14ac:dyDescent="0.3">
      <c r="A11">
        <v>2035</v>
      </c>
      <c r="B11">
        <v>130</v>
      </c>
      <c r="C11">
        <v>370</v>
      </c>
      <c r="D11">
        <v>1080</v>
      </c>
      <c r="E11" s="14">
        <f>'Scenario calculation'!$B$39</f>
        <v>12.3841872</v>
      </c>
      <c r="F11" s="17">
        <f t="shared" si="0"/>
        <v>0.65740740740740744</v>
      </c>
      <c r="G11" s="1">
        <f t="shared" si="1"/>
        <v>1058.3893320000002</v>
      </c>
      <c r="H11" s="13">
        <v>0.02</v>
      </c>
      <c r="I11" s="15">
        <f t="shared" si="8"/>
        <v>885.61284689444551</v>
      </c>
      <c r="J11">
        <v>2035</v>
      </c>
      <c r="K11">
        <v>0</v>
      </c>
      <c r="L11" s="1">
        <f>'Scenario calculation'!$D$37</f>
        <v>324.05063291139243</v>
      </c>
      <c r="M11" s="14">
        <f>'Scenario calculation'!$G$39</f>
        <v>2.18294764556962</v>
      </c>
      <c r="N11" s="17">
        <f t="shared" si="2"/>
        <v>1</v>
      </c>
      <c r="O11" s="1">
        <f t="shared" si="3"/>
        <v>283.78319392405058</v>
      </c>
      <c r="P11" s="13">
        <v>0.02</v>
      </c>
      <c r="Q11" s="15">
        <f t="shared" si="4"/>
        <v>237.45708188211114</v>
      </c>
      <c r="R11">
        <v>0</v>
      </c>
      <c r="S11" s="1">
        <f>'Scenario calculation'!$P$37</f>
        <v>499.57805907172997</v>
      </c>
      <c r="T11" s="14">
        <f>'Scenario calculation'!$S$39</f>
        <v>2.5776429367088607</v>
      </c>
      <c r="U11" s="17">
        <f t="shared" si="5"/>
        <v>1</v>
      </c>
      <c r="V11" s="1">
        <f t="shared" si="6"/>
        <v>335.09358177215188</v>
      </c>
      <c r="W11" s="13">
        <v>0.02</v>
      </c>
      <c r="X11" s="15">
        <f t="shared" si="7"/>
        <v>280.39131910797835</v>
      </c>
    </row>
    <row r="12" spans="1:24" x14ac:dyDescent="0.3">
      <c r="A12">
        <v>2036</v>
      </c>
      <c r="B12" s="14">
        <f>B11*1.015</f>
        <v>131.94999999999999</v>
      </c>
      <c r="C12">
        <v>370</v>
      </c>
      <c r="D12">
        <v>1080</v>
      </c>
      <c r="E12" s="14">
        <f>'Scenario calculation'!$B$39</f>
        <v>12.3841872</v>
      </c>
      <c r="F12" s="17">
        <f t="shared" si="0"/>
        <v>0.65740740740740744</v>
      </c>
      <c r="G12" s="1">
        <f t="shared" si="1"/>
        <v>1074.2651719800001</v>
      </c>
      <c r="H12" s="13">
        <v>0.02</v>
      </c>
      <c r="I12" s="15">
        <f t="shared" si="8"/>
        <v>881.27160744888442</v>
      </c>
      <c r="J12">
        <v>2036</v>
      </c>
      <c r="K12">
        <v>0</v>
      </c>
      <c r="L12" s="1">
        <f>'Scenario calculation'!$D$37</f>
        <v>324.05063291139243</v>
      </c>
      <c r="M12" s="14">
        <f>'Scenario calculation'!$G$39</f>
        <v>2.18294764556962</v>
      </c>
      <c r="N12" s="17">
        <f t="shared" si="2"/>
        <v>1</v>
      </c>
      <c r="O12" s="1">
        <f t="shared" si="3"/>
        <v>288.03994183291132</v>
      </c>
      <c r="P12" s="13">
        <v>0.02</v>
      </c>
      <c r="Q12" s="15">
        <f t="shared" si="4"/>
        <v>236.29307657876743</v>
      </c>
      <c r="R12">
        <v>0</v>
      </c>
      <c r="S12" s="1">
        <f>'Scenario calculation'!$P$37</f>
        <v>499.57805907172997</v>
      </c>
      <c r="T12" s="14">
        <f>'Scenario calculation'!$S$39</f>
        <v>2.5776429367088607</v>
      </c>
      <c r="U12" s="17">
        <f t="shared" si="5"/>
        <v>1</v>
      </c>
      <c r="V12" s="1">
        <f t="shared" si="6"/>
        <v>340.11998549873414</v>
      </c>
      <c r="W12" s="13">
        <v>0.02</v>
      </c>
      <c r="X12" s="15">
        <f t="shared" si="7"/>
        <v>279.01685185744901</v>
      </c>
    </row>
    <row r="13" spans="1:24" x14ac:dyDescent="0.3">
      <c r="A13">
        <v>2037</v>
      </c>
      <c r="B13" s="14">
        <f t="shared" ref="B13:B26" si="9">B12*1.015</f>
        <v>133.92924999999997</v>
      </c>
      <c r="C13">
        <v>370</v>
      </c>
      <c r="D13">
        <v>1080</v>
      </c>
      <c r="E13" s="14">
        <f>'Scenario calculation'!$B$39</f>
        <v>12.3841872</v>
      </c>
      <c r="F13" s="17">
        <f t="shared" si="0"/>
        <v>0.65740740740740744</v>
      </c>
      <c r="G13" s="1">
        <f t="shared" si="1"/>
        <v>1090.3791495597</v>
      </c>
      <c r="H13" s="13">
        <v>0.02</v>
      </c>
      <c r="I13" s="15">
        <f t="shared" si="8"/>
        <v>876.95164858884084</v>
      </c>
      <c r="J13">
        <v>2037</v>
      </c>
      <c r="K13">
        <v>0</v>
      </c>
      <c r="L13" s="1">
        <f>'Scenario calculation'!$D$37</f>
        <v>324.05063291139243</v>
      </c>
      <c r="M13" s="14">
        <f>'Scenario calculation'!$G$39</f>
        <v>2.18294764556962</v>
      </c>
      <c r="N13" s="17">
        <f t="shared" si="2"/>
        <v>1</v>
      </c>
      <c r="O13" s="1">
        <f t="shared" si="3"/>
        <v>292.36054096040493</v>
      </c>
      <c r="P13" s="13">
        <v>0.02</v>
      </c>
      <c r="Q13" s="15">
        <f t="shared" si="4"/>
        <v>235.13477718377345</v>
      </c>
      <c r="R13">
        <v>0</v>
      </c>
      <c r="S13" s="1">
        <f>'Scenario calculation'!$P$37</f>
        <v>499.57805907172997</v>
      </c>
      <c r="T13" s="14">
        <f>'Scenario calculation'!$S$39</f>
        <v>2.5776429367088607</v>
      </c>
      <c r="U13" s="17">
        <f t="shared" si="5"/>
        <v>1</v>
      </c>
      <c r="V13" s="1">
        <f t="shared" si="6"/>
        <v>345.22178528121509</v>
      </c>
      <c r="W13" s="13">
        <v>0.02</v>
      </c>
      <c r="X13" s="15">
        <f t="shared" si="7"/>
        <v>277.64912219148113</v>
      </c>
    </row>
    <row r="14" spans="1:24" x14ac:dyDescent="0.3">
      <c r="A14">
        <v>2038</v>
      </c>
      <c r="B14" s="14">
        <f t="shared" si="9"/>
        <v>135.93818874999997</v>
      </c>
      <c r="C14">
        <v>370</v>
      </c>
      <c r="D14">
        <v>1080</v>
      </c>
      <c r="E14" s="14">
        <f>'Scenario calculation'!$B$39</f>
        <v>12.3841872</v>
      </c>
      <c r="F14" s="17">
        <f t="shared" si="0"/>
        <v>0.65740740740740744</v>
      </c>
      <c r="G14" s="1">
        <f t="shared" si="1"/>
        <v>1106.7348368030953</v>
      </c>
      <c r="H14" s="13">
        <v>0.02</v>
      </c>
      <c r="I14" s="15">
        <f t="shared" si="8"/>
        <v>872.65286599771889</v>
      </c>
      <c r="J14">
        <v>2038</v>
      </c>
      <c r="K14">
        <v>0</v>
      </c>
      <c r="L14" s="1">
        <f>'Scenario calculation'!$D$37</f>
        <v>324.05063291139243</v>
      </c>
      <c r="M14" s="14">
        <f>'Scenario calculation'!$G$39</f>
        <v>2.18294764556962</v>
      </c>
      <c r="N14" s="17">
        <f t="shared" si="2"/>
        <v>1</v>
      </c>
      <c r="O14" s="1">
        <f t="shared" si="3"/>
        <v>296.74594907481105</v>
      </c>
      <c r="P14" s="13">
        <v>0.02</v>
      </c>
      <c r="Q14" s="15">
        <f t="shared" si="4"/>
        <v>233.98215572699024</v>
      </c>
      <c r="R14">
        <v>0</v>
      </c>
      <c r="S14" s="1">
        <f>'Scenario calculation'!$P$37</f>
        <v>499.57805907172997</v>
      </c>
      <c r="T14" s="14">
        <f>'Scenario calculation'!$S$39</f>
        <v>2.5776429367088607</v>
      </c>
      <c r="U14" s="17">
        <f t="shared" si="5"/>
        <v>1</v>
      </c>
      <c r="V14" s="1">
        <f t="shared" si="6"/>
        <v>350.40011206043334</v>
      </c>
      <c r="W14" s="13">
        <v>0.02</v>
      </c>
      <c r="X14" s="15">
        <f t="shared" si="7"/>
        <v>276.28809708269932</v>
      </c>
    </row>
    <row r="15" spans="1:24" x14ac:dyDescent="0.3">
      <c r="A15">
        <v>2039</v>
      </c>
      <c r="B15" s="14">
        <f t="shared" si="9"/>
        <v>137.97726158124996</v>
      </c>
      <c r="C15">
        <v>370</v>
      </c>
      <c r="D15">
        <v>1080</v>
      </c>
      <c r="E15" s="14">
        <f>'Scenario calculation'!$B$39</f>
        <v>12.3841872</v>
      </c>
      <c r="F15" s="17">
        <f t="shared" si="0"/>
        <v>0.65740740740740744</v>
      </c>
      <c r="G15" s="1">
        <f t="shared" si="1"/>
        <v>1123.3358593551418</v>
      </c>
      <c r="H15" s="13">
        <v>0.02</v>
      </c>
      <c r="I15" s="15">
        <f t="shared" si="8"/>
        <v>868.37515587027917</v>
      </c>
      <c r="J15">
        <v>2039</v>
      </c>
      <c r="K15">
        <v>0</v>
      </c>
      <c r="L15" s="1">
        <f>'Scenario calculation'!$D$37</f>
        <v>324.05063291139243</v>
      </c>
      <c r="M15" s="14">
        <f>'Scenario calculation'!$G$39</f>
        <v>2.18294764556962</v>
      </c>
      <c r="N15" s="17">
        <f t="shared" si="2"/>
        <v>1</v>
      </c>
      <c r="O15" s="1">
        <f t="shared" si="3"/>
        <v>301.19713831093316</v>
      </c>
      <c r="P15" s="13">
        <v>0.02</v>
      </c>
      <c r="Q15" s="15">
        <f t="shared" si="4"/>
        <v>232.83518437538734</v>
      </c>
      <c r="R15">
        <v>0</v>
      </c>
      <c r="S15" s="1">
        <f>'Scenario calculation'!$P$37</f>
        <v>499.57805907172997</v>
      </c>
      <c r="T15" s="14">
        <f>'Scenario calculation'!$S$39</f>
        <v>2.5776429367088607</v>
      </c>
      <c r="U15" s="17">
        <f t="shared" si="5"/>
        <v>1</v>
      </c>
      <c r="V15" s="1">
        <f t="shared" si="6"/>
        <v>355.65611374133982</v>
      </c>
      <c r="W15" s="13">
        <v>0.02</v>
      </c>
      <c r="X15" s="15">
        <f t="shared" si="7"/>
        <v>274.93374366562728</v>
      </c>
    </row>
    <row r="16" spans="1:24" x14ac:dyDescent="0.3">
      <c r="A16">
        <v>2040</v>
      </c>
      <c r="B16" s="14">
        <f>B15*1.015</f>
        <v>140.04692050496871</v>
      </c>
      <c r="C16">
        <v>370</v>
      </c>
      <c r="D16">
        <v>1080</v>
      </c>
      <c r="E16" s="14">
        <f>'Scenario calculation'!$B$39</f>
        <v>12.3841872</v>
      </c>
      <c r="F16" s="17">
        <f t="shared" si="0"/>
        <v>0.65740740740740744</v>
      </c>
      <c r="G16" s="1">
        <f t="shared" si="1"/>
        <v>1140.1858972454688</v>
      </c>
      <c r="H16" s="13">
        <v>0.02</v>
      </c>
      <c r="I16" s="15">
        <f t="shared" si="8"/>
        <v>864.11841491013058</v>
      </c>
      <c r="J16">
        <v>2040</v>
      </c>
      <c r="K16">
        <v>0</v>
      </c>
      <c r="L16" s="1">
        <f>'Scenario calculation'!$D$37</f>
        <v>324.05063291139243</v>
      </c>
      <c r="M16" s="14">
        <f>'Scenario calculation'!$G$39</f>
        <v>2.18294764556962</v>
      </c>
      <c r="N16" s="17">
        <f t="shared" si="2"/>
        <v>1</v>
      </c>
      <c r="O16" s="1">
        <f t="shared" si="3"/>
        <v>305.71509538559718</v>
      </c>
      <c r="P16" s="13">
        <v>0.02</v>
      </c>
      <c r="Q16" s="15">
        <f t="shared" si="4"/>
        <v>231.69383543237072</v>
      </c>
      <c r="R16">
        <v>0</v>
      </c>
      <c r="S16" s="1">
        <f>'Scenario calculation'!$P$37</f>
        <v>499.57805907172997</v>
      </c>
      <c r="T16" s="14">
        <f>'Scenario calculation'!$S$39</f>
        <v>2.5776429367088607</v>
      </c>
      <c r="U16" s="17">
        <f t="shared" si="5"/>
        <v>1</v>
      </c>
      <c r="V16" s="1">
        <f t="shared" si="6"/>
        <v>360.9909554474599</v>
      </c>
      <c r="W16" s="13">
        <v>0.02</v>
      </c>
      <c r="X16" s="15">
        <f t="shared" si="7"/>
        <v>273.58602923589376</v>
      </c>
    </row>
    <row r="17" spans="1:24" x14ac:dyDescent="0.3">
      <c r="A17">
        <v>2041</v>
      </c>
      <c r="B17" s="14">
        <f t="shared" ref="B17" si="10">B16*1.015</f>
        <v>142.14762431254323</v>
      </c>
      <c r="C17">
        <v>370</v>
      </c>
      <c r="D17">
        <v>1080</v>
      </c>
      <c r="E17" s="14">
        <f>'Scenario calculation'!$B$39</f>
        <v>12.3841872</v>
      </c>
      <c r="F17" s="17">
        <f t="shared" si="0"/>
        <v>0.65740740740740744</v>
      </c>
      <c r="G17" s="1">
        <f t="shared" si="1"/>
        <v>1157.2886857041508</v>
      </c>
      <c r="H17" s="13">
        <v>0.02</v>
      </c>
      <c r="I17" s="15">
        <f t="shared" si="8"/>
        <v>859.88254032723796</v>
      </c>
      <c r="J17">
        <v>2041</v>
      </c>
      <c r="K17">
        <v>0</v>
      </c>
      <c r="L17" s="1">
        <f>'Scenario calculation'!$D$37</f>
        <v>324.05063291139243</v>
      </c>
      <c r="M17" s="14">
        <f>'Scenario calculation'!$G$39</f>
        <v>2.18294764556962</v>
      </c>
      <c r="N17" s="17">
        <f t="shared" si="2"/>
        <v>1</v>
      </c>
      <c r="O17" s="1">
        <f t="shared" si="3"/>
        <v>310.30082181638113</v>
      </c>
      <c r="P17" s="13">
        <v>0.02</v>
      </c>
      <c r="Q17" s="15">
        <f t="shared" si="4"/>
        <v>230.55808133711406</v>
      </c>
      <c r="R17">
        <v>0</v>
      </c>
      <c r="S17" s="1">
        <f>'Scenario calculation'!$P$37</f>
        <v>499.57805907172997</v>
      </c>
      <c r="T17" s="14">
        <f>'Scenario calculation'!$S$39</f>
        <v>2.5776429367088607</v>
      </c>
      <c r="U17" s="17">
        <f t="shared" si="5"/>
        <v>1</v>
      </c>
      <c r="V17" s="1">
        <f t="shared" si="6"/>
        <v>366.40581977917179</v>
      </c>
      <c r="W17" s="13">
        <v>0.02</v>
      </c>
      <c r="X17" s="15">
        <f t="shared" si="7"/>
        <v>272.24492124944339</v>
      </c>
    </row>
    <row r="18" spans="1:24" x14ac:dyDescent="0.3">
      <c r="A18">
        <v>2042</v>
      </c>
      <c r="B18" s="14">
        <f t="shared" si="9"/>
        <v>144.27983867723137</v>
      </c>
      <c r="C18">
        <v>370</v>
      </c>
      <c r="D18">
        <v>1080</v>
      </c>
      <c r="E18" s="14">
        <f>'Scenario calculation'!$B$39</f>
        <v>12.3841872</v>
      </c>
      <c r="F18" s="17">
        <f t="shared" si="0"/>
        <v>0.65740740740740744</v>
      </c>
      <c r="G18" s="1">
        <f t="shared" si="1"/>
        <v>1174.648015989713</v>
      </c>
      <c r="H18" s="13">
        <v>0.02</v>
      </c>
      <c r="I18" s="15">
        <f t="shared" si="8"/>
        <v>855.66742983543759</v>
      </c>
      <c r="J18">
        <v>2042</v>
      </c>
      <c r="K18">
        <v>0</v>
      </c>
      <c r="L18" s="1">
        <f>'Scenario calculation'!$D$37</f>
        <v>324.05063291139243</v>
      </c>
      <c r="M18" s="14">
        <f>'Scenario calculation'!$G$39</f>
        <v>2.18294764556962</v>
      </c>
      <c r="N18" s="17">
        <f t="shared" si="2"/>
        <v>1</v>
      </c>
      <c r="O18" s="1">
        <f t="shared" si="3"/>
        <v>314.95533414362683</v>
      </c>
      <c r="P18" s="13">
        <v>0.02</v>
      </c>
      <c r="Q18" s="15">
        <f t="shared" si="4"/>
        <v>229.42789466389286</v>
      </c>
      <c r="R18">
        <v>0</v>
      </c>
      <c r="S18" s="1">
        <f>'Scenario calculation'!$P$37</f>
        <v>499.57805907172997</v>
      </c>
      <c r="T18" s="14">
        <f>'Scenario calculation'!$S$39</f>
        <v>2.5776429367088607</v>
      </c>
      <c r="U18" s="17">
        <f t="shared" si="5"/>
        <v>1</v>
      </c>
      <c r="V18" s="1">
        <f t="shared" si="6"/>
        <v>371.9019070758593</v>
      </c>
      <c r="W18" s="13">
        <v>0.02</v>
      </c>
      <c r="X18" s="15">
        <f t="shared" si="7"/>
        <v>270.91038732174997</v>
      </c>
    </row>
    <row r="19" spans="1:24" x14ac:dyDescent="0.3">
      <c r="A19">
        <v>2043</v>
      </c>
      <c r="B19" s="14">
        <f t="shared" si="9"/>
        <v>146.44403625738983</v>
      </c>
      <c r="C19">
        <v>370</v>
      </c>
      <c r="D19">
        <v>1080</v>
      </c>
      <c r="E19" s="14">
        <f>'Scenario calculation'!$B$39</f>
        <v>12.3841872</v>
      </c>
      <c r="F19" s="17">
        <f t="shared" si="0"/>
        <v>0.65740740740740744</v>
      </c>
      <c r="G19" s="1">
        <f t="shared" si="1"/>
        <v>1192.2677362295585</v>
      </c>
      <c r="H19" s="13">
        <v>0.02</v>
      </c>
      <c r="I19" s="15">
        <f t="shared" si="8"/>
        <v>851.4729816499696</v>
      </c>
      <c r="J19">
        <v>2043</v>
      </c>
      <c r="K19">
        <v>0</v>
      </c>
      <c r="L19" s="1">
        <f>'Scenario calculation'!$D$37</f>
        <v>324.05063291139243</v>
      </c>
      <c r="M19" s="14">
        <f>'Scenario calculation'!$G$39</f>
        <v>2.18294764556962</v>
      </c>
      <c r="N19" s="17">
        <f t="shared" si="2"/>
        <v>1</v>
      </c>
      <c r="O19" s="1">
        <f t="shared" si="3"/>
        <v>319.67966415578115</v>
      </c>
      <c r="P19" s="13">
        <v>0.02</v>
      </c>
      <c r="Q19" s="15">
        <f t="shared" si="4"/>
        <v>228.30324812142271</v>
      </c>
      <c r="R19">
        <v>0</v>
      </c>
      <c r="S19" s="1">
        <f>'Scenario calculation'!$P$37</f>
        <v>499.57805907172997</v>
      </c>
      <c r="T19" s="14">
        <f>'Scenario calculation'!$S$39</f>
        <v>2.5776429367088607</v>
      </c>
      <c r="U19" s="17">
        <f t="shared" si="5"/>
        <v>1</v>
      </c>
      <c r="V19" s="1">
        <f t="shared" si="6"/>
        <v>377.48043568199716</v>
      </c>
      <c r="W19" s="13">
        <v>0.02</v>
      </c>
      <c r="X19" s="15">
        <f t="shared" si="7"/>
        <v>269.58239522703542</v>
      </c>
    </row>
    <row r="20" spans="1:24" x14ac:dyDescent="0.3">
      <c r="A20">
        <v>2044</v>
      </c>
      <c r="B20" s="14">
        <f t="shared" si="9"/>
        <v>148.64069680125067</v>
      </c>
      <c r="C20">
        <v>370</v>
      </c>
      <c r="D20">
        <v>1080</v>
      </c>
      <c r="E20" s="14">
        <f>'Scenario calculation'!$B$39</f>
        <v>12.3841872</v>
      </c>
      <c r="F20" s="17">
        <f t="shared" si="0"/>
        <v>0.65740740740740744</v>
      </c>
      <c r="G20" s="1">
        <f t="shared" si="1"/>
        <v>1210.1517522730019</v>
      </c>
      <c r="H20" s="13">
        <v>0.02</v>
      </c>
      <c r="I20" s="15">
        <f t="shared" si="8"/>
        <v>847.29909448501883</v>
      </c>
      <c r="J20">
        <v>2044</v>
      </c>
      <c r="K20">
        <v>0</v>
      </c>
      <c r="L20" s="1">
        <f>'Scenario calculation'!$D$37</f>
        <v>324.05063291139243</v>
      </c>
      <c r="M20" s="14">
        <f>'Scenario calculation'!$G$39</f>
        <v>2.18294764556962</v>
      </c>
      <c r="N20" s="17">
        <f t="shared" si="2"/>
        <v>1</v>
      </c>
      <c r="O20" s="1">
        <f t="shared" si="3"/>
        <v>324.47485911811788</v>
      </c>
      <c r="P20" s="13">
        <v>0.02</v>
      </c>
      <c r="Q20" s="15">
        <f t="shared" si="4"/>
        <v>227.1841145522001</v>
      </c>
      <c r="R20">
        <v>0</v>
      </c>
      <c r="S20" s="1">
        <f>'Scenario calculation'!$P$37</f>
        <v>499.57805907172997</v>
      </c>
      <c r="T20" s="14">
        <f>'Scenario calculation'!$S$39</f>
        <v>2.5776429367088607</v>
      </c>
      <c r="U20" s="17">
        <f t="shared" si="5"/>
        <v>1</v>
      </c>
      <c r="V20" s="1">
        <f t="shared" si="6"/>
        <v>383.14264221722715</v>
      </c>
      <c r="W20" s="13">
        <v>0.02</v>
      </c>
      <c r="X20" s="15">
        <f t="shared" si="7"/>
        <v>268.26091289749121</v>
      </c>
    </row>
    <row r="21" spans="1:24" x14ac:dyDescent="0.3">
      <c r="A21">
        <v>2045</v>
      </c>
      <c r="B21" s="14">
        <f t="shared" si="9"/>
        <v>150.8703072532694</v>
      </c>
      <c r="C21">
        <v>370</v>
      </c>
      <c r="D21">
        <v>1080</v>
      </c>
      <c r="E21" s="14">
        <f>'Scenario calculation'!$B$39</f>
        <v>12.3841872</v>
      </c>
      <c r="F21" s="17">
        <f t="shared" si="0"/>
        <v>0.65740740740740744</v>
      </c>
      <c r="G21" s="1">
        <f t="shared" si="1"/>
        <v>1228.3040285570967</v>
      </c>
      <c r="H21" s="13">
        <v>0.02</v>
      </c>
      <c r="I21" s="15">
        <f t="shared" si="8"/>
        <v>843.14566755126862</v>
      </c>
      <c r="J21">
        <v>2045</v>
      </c>
      <c r="K21">
        <v>0</v>
      </c>
      <c r="L21" s="1">
        <f>'Scenario calculation'!$D$37</f>
        <v>324.05063291139243</v>
      </c>
      <c r="M21" s="14">
        <f>'Scenario calculation'!$G$39</f>
        <v>2.18294764556962</v>
      </c>
      <c r="N21" s="17">
        <f t="shared" si="2"/>
        <v>1</v>
      </c>
      <c r="O21" s="1">
        <f t="shared" si="3"/>
        <v>329.34198200488959</v>
      </c>
      <c r="P21" s="13">
        <v>0.02</v>
      </c>
      <c r="Q21" s="15">
        <f t="shared" si="4"/>
        <v>226.07046693184614</v>
      </c>
      <c r="R21">
        <v>0</v>
      </c>
      <c r="S21" s="1">
        <f>'Scenario calculation'!$P$37</f>
        <v>499.57805907172997</v>
      </c>
      <c r="T21" s="14">
        <f>'Scenario calculation'!$S$39</f>
        <v>2.5776429367088607</v>
      </c>
      <c r="U21" s="17">
        <f t="shared" si="5"/>
        <v>1</v>
      </c>
      <c r="V21" s="1">
        <f t="shared" si="6"/>
        <v>388.88978185048546</v>
      </c>
      <c r="W21" s="13">
        <v>0.02</v>
      </c>
      <c r="X21" s="15">
        <f t="shared" si="7"/>
        <v>266.94590842250346</v>
      </c>
    </row>
    <row r="22" spans="1:24" x14ac:dyDescent="0.3">
      <c r="A22">
        <v>2046</v>
      </c>
      <c r="B22" s="14">
        <f t="shared" si="9"/>
        <v>153.13336186206843</v>
      </c>
      <c r="C22">
        <v>370</v>
      </c>
      <c r="D22">
        <v>1080</v>
      </c>
      <c r="E22" s="14">
        <f>'Scenario calculation'!$B$39</f>
        <v>12.3841872</v>
      </c>
      <c r="F22" s="17">
        <f t="shared" si="0"/>
        <v>0.65740740740740744</v>
      </c>
      <c r="G22" s="1">
        <f t="shared" si="1"/>
        <v>1246.7285889854531</v>
      </c>
      <c r="H22" s="13">
        <v>0.02</v>
      </c>
      <c r="I22" s="15">
        <f t="shared" si="8"/>
        <v>839.01260055346813</v>
      </c>
      <c r="J22">
        <v>2046</v>
      </c>
      <c r="K22">
        <v>0</v>
      </c>
      <c r="L22" s="1">
        <f>'Scenario calculation'!$D$37</f>
        <v>324.05063291139243</v>
      </c>
      <c r="M22" s="14">
        <f>'Scenario calculation'!$G$39</f>
        <v>2.18294764556962</v>
      </c>
      <c r="N22" s="17">
        <f t="shared" si="2"/>
        <v>1</v>
      </c>
      <c r="O22" s="1">
        <f t="shared" si="3"/>
        <v>334.28211173496288</v>
      </c>
      <c r="P22" s="13">
        <v>0.02</v>
      </c>
      <c r="Q22" s="15">
        <f t="shared" si="4"/>
        <v>224.96227836845469</v>
      </c>
      <c r="R22">
        <v>0</v>
      </c>
      <c r="S22" s="1">
        <f>'Scenario calculation'!$P$37</f>
        <v>499.57805907172997</v>
      </c>
      <c r="T22" s="14">
        <f>'Scenario calculation'!$S$39</f>
        <v>2.5776429367088607</v>
      </c>
      <c r="U22" s="17">
        <f t="shared" si="5"/>
        <v>1</v>
      </c>
      <c r="V22" s="1">
        <f t="shared" si="6"/>
        <v>394.72312857824272</v>
      </c>
      <c r="W22" s="13">
        <v>0.02</v>
      </c>
      <c r="X22" s="15">
        <f t="shared" si="7"/>
        <v>265.63735004788327</v>
      </c>
    </row>
    <row r="23" spans="1:24" x14ac:dyDescent="0.3">
      <c r="A23">
        <v>2047</v>
      </c>
      <c r="B23" s="14">
        <f t="shared" si="9"/>
        <v>155.43036228999944</v>
      </c>
      <c r="C23">
        <v>370</v>
      </c>
      <c r="D23">
        <v>1080</v>
      </c>
      <c r="E23" s="14">
        <f>'Scenario calculation'!$B$39</f>
        <v>12.3841872</v>
      </c>
      <c r="F23" s="17">
        <f t="shared" si="0"/>
        <v>0.65740740740740744</v>
      </c>
      <c r="G23" s="1">
        <f t="shared" si="1"/>
        <v>1265.4295178202347</v>
      </c>
      <c r="H23" s="13">
        <v>0.02</v>
      </c>
      <c r="I23" s="15">
        <f t="shared" si="8"/>
        <v>834.89979368800994</v>
      </c>
      <c r="J23">
        <v>2047</v>
      </c>
      <c r="K23">
        <v>0</v>
      </c>
      <c r="L23" s="1">
        <f>'Scenario calculation'!$D$37</f>
        <v>324.05063291139243</v>
      </c>
      <c r="M23" s="14">
        <f>'Scenario calculation'!$G$39</f>
        <v>2.18294764556962</v>
      </c>
      <c r="N23" s="17">
        <f t="shared" si="2"/>
        <v>1</v>
      </c>
      <c r="O23" s="1">
        <f t="shared" si="3"/>
        <v>339.29634341098733</v>
      </c>
      <c r="P23" s="13">
        <v>0.02</v>
      </c>
      <c r="Q23" s="15">
        <f t="shared" si="4"/>
        <v>223.85952210194267</v>
      </c>
      <c r="R23">
        <v>0</v>
      </c>
      <c r="S23" s="1">
        <f>'Scenario calculation'!$P$37</f>
        <v>499.57805907172997</v>
      </c>
      <c r="T23" s="14">
        <f>'Scenario calculation'!$S$39</f>
        <v>2.5776429367088607</v>
      </c>
      <c r="U23" s="17">
        <f t="shared" si="5"/>
        <v>1</v>
      </c>
      <c r="V23" s="1">
        <f t="shared" si="6"/>
        <v>400.64397550691632</v>
      </c>
      <c r="W23" s="13">
        <v>0.02</v>
      </c>
      <c r="X23" s="15">
        <f t="shared" si="7"/>
        <v>264.33520617509953</v>
      </c>
    </row>
    <row r="24" spans="1:24" x14ac:dyDescent="0.3">
      <c r="A24">
        <v>2048</v>
      </c>
      <c r="B24" s="14">
        <f t="shared" si="9"/>
        <v>157.76181772434941</v>
      </c>
      <c r="C24">
        <v>370</v>
      </c>
      <c r="D24">
        <v>1080</v>
      </c>
      <c r="E24" s="14">
        <f>'Scenario calculation'!$B$39</f>
        <v>12.3841872</v>
      </c>
      <c r="F24" s="17">
        <f t="shared" si="0"/>
        <v>0.65740740740740744</v>
      </c>
      <c r="G24" s="1">
        <f t="shared" si="1"/>
        <v>1284.4109605875381</v>
      </c>
      <c r="H24" s="13">
        <v>0.02</v>
      </c>
      <c r="I24" s="15">
        <f t="shared" si="8"/>
        <v>830.80714764051947</v>
      </c>
      <c r="J24">
        <v>2048</v>
      </c>
      <c r="K24">
        <v>0</v>
      </c>
      <c r="L24" s="1">
        <f>'Scenario calculation'!$D$37</f>
        <v>324.05063291139243</v>
      </c>
      <c r="M24" s="14">
        <f>'Scenario calculation'!$G$39</f>
        <v>2.18294764556962</v>
      </c>
      <c r="N24" s="17">
        <f t="shared" si="2"/>
        <v>1</v>
      </c>
      <c r="O24" s="1">
        <f t="shared" si="3"/>
        <v>344.38578856215207</v>
      </c>
      <c r="P24" s="13">
        <v>0.02</v>
      </c>
      <c r="Q24" s="15">
        <f t="shared" si="4"/>
        <v>222.76217150340366</v>
      </c>
      <c r="R24">
        <v>0</v>
      </c>
      <c r="S24" s="1">
        <f>'Scenario calculation'!$P$37</f>
        <v>499.57805907172997</v>
      </c>
      <c r="T24" s="14">
        <f>'Scenario calculation'!$S$39</f>
        <v>2.5776429367088607</v>
      </c>
      <c r="U24" s="17">
        <f t="shared" si="5"/>
        <v>1</v>
      </c>
      <c r="V24" s="1">
        <f t="shared" si="6"/>
        <v>406.65363513952002</v>
      </c>
      <c r="W24" s="13">
        <v>0.02</v>
      </c>
      <c r="X24" s="15">
        <f t="shared" si="7"/>
        <v>263.03944536051569</v>
      </c>
    </row>
    <row r="25" spans="1:24" x14ac:dyDescent="0.3">
      <c r="A25">
        <v>2049</v>
      </c>
      <c r="B25" s="14">
        <f t="shared" si="9"/>
        <v>160.12824499021463</v>
      </c>
      <c r="C25">
        <v>370</v>
      </c>
      <c r="D25">
        <v>1080</v>
      </c>
      <c r="E25" s="14">
        <f>'Scenario calculation'!$B$39</f>
        <v>12.3841872</v>
      </c>
      <c r="F25" s="17">
        <f t="shared" si="0"/>
        <v>0.65740740740740744</v>
      </c>
      <c r="G25" s="1">
        <f t="shared" si="1"/>
        <v>1303.677124996351</v>
      </c>
      <c r="H25" s="13">
        <v>0.02</v>
      </c>
      <c r="I25" s="15">
        <f t="shared" si="8"/>
        <v>826.73456358345823</v>
      </c>
      <c r="J25">
        <v>2049</v>
      </c>
      <c r="K25">
        <v>0</v>
      </c>
      <c r="L25" s="1">
        <f>'Scenario calculation'!$D$37</f>
        <v>324.05063291139243</v>
      </c>
      <c r="M25" s="14">
        <f>'Scenario calculation'!$G$39</f>
        <v>2.18294764556962</v>
      </c>
      <c r="N25" s="17">
        <f t="shared" si="2"/>
        <v>1</v>
      </c>
      <c r="O25" s="1">
        <f t="shared" si="3"/>
        <v>349.55157539058433</v>
      </c>
      <c r="P25" s="13">
        <v>0.02</v>
      </c>
      <c r="Q25" s="15">
        <f t="shared" si="4"/>
        <v>221.67020007446544</v>
      </c>
      <c r="R25">
        <v>0</v>
      </c>
      <c r="S25" s="1">
        <f>'Scenario calculation'!$P$37</f>
        <v>499.57805907172997</v>
      </c>
      <c r="T25" s="14">
        <f>'Scenario calculation'!$S$39</f>
        <v>2.5776429367088607</v>
      </c>
      <c r="U25" s="17">
        <f t="shared" si="5"/>
        <v>1</v>
      </c>
      <c r="V25" s="1">
        <f t="shared" si="6"/>
        <v>412.75343966661273</v>
      </c>
      <c r="W25" s="13">
        <v>0.02</v>
      </c>
      <c r="X25" s="15">
        <f t="shared" si="7"/>
        <v>261.75003631463079</v>
      </c>
    </row>
    <row r="26" spans="1:24" x14ac:dyDescent="0.3">
      <c r="A26">
        <v>2050</v>
      </c>
      <c r="B26" s="14">
        <f t="shared" si="9"/>
        <v>162.53016866506783</v>
      </c>
      <c r="C26">
        <v>370</v>
      </c>
      <c r="D26">
        <v>1080</v>
      </c>
      <c r="E26" s="14">
        <f>'Scenario calculation'!$B$39</f>
        <v>12.3841872</v>
      </c>
      <c r="F26" s="17">
        <f t="shared" ref="F26" si="11">(D26-C26)/D26</f>
        <v>0.65740740740740744</v>
      </c>
      <c r="G26" s="1">
        <f t="shared" ref="G26" si="12">E26*F26*B26</f>
        <v>1323.2322818712962</v>
      </c>
      <c r="H26" s="13">
        <v>0.02</v>
      </c>
      <c r="I26" s="15">
        <f t="shared" ref="I26" si="13">G26/(1+H26)^(A26-A$2)</f>
        <v>822.68194317373536</v>
      </c>
      <c r="J26">
        <v>2050</v>
      </c>
      <c r="K26">
        <v>0</v>
      </c>
      <c r="L26" s="1">
        <f>'Scenario calculation'!$D$37</f>
        <v>324.05063291139243</v>
      </c>
      <c r="M26" s="14">
        <f>'Scenario calculation'!$G$39</f>
        <v>2.18294764556962</v>
      </c>
      <c r="N26" s="17">
        <f t="shared" ref="N26" si="14">(L26-K26)/L26</f>
        <v>1</v>
      </c>
      <c r="O26" s="1">
        <f t="shared" ref="O26" si="15">M26*N26*$B26</f>
        <v>354.79484902144304</v>
      </c>
      <c r="P26" s="13">
        <v>0.02</v>
      </c>
      <c r="Q26" s="15">
        <f t="shared" ref="Q26" si="16">O26/(1+P26)^(J26-J$2)</f>
        <v>220.58358144664939</v>
      </c>
      <c r="R26">
        <v>0</v>
      </c>
      <c r="S26" s="1">
        <f>'Scenario calculation'!$P$37</f>
        <v>499.57805907172997</v>
      </c>
      <c r="T26" s="14">
        <f>'Scenario calculation'!$S$39</f>
        <v>2.5776429367088607</v>
      </c>
      <c r="U26" s="17">
        <f t="shared" ref="U26" si="17">(S26-R26)/S26</f>
        <v>1</v>
      </c>
      <c r="V26" s="1">
        <f t="shared" ref="V26" si="18">T26*U26*$B26</f>
        <v>418.94474126161191</v>
      </c>
      <c r="W26" s="13">
        <v>0.02</v>
      </c>
      <c r="X26" s="15">
        <f t="shared" ref="X26" si="19">V26/(1+W26)^($J26-$J$2)</f>
        <v>260.46694790132375</v>
      </c>
    </row>
    <row r="28" spans="1:24" x14ac:dyDescent="0.3">
      <c r="E28" s="1">
        <f>SUM(E2:E26)</f>
        <v>309.6046799999998</v>
      </c>
      <c r="F28" t="s">
        <v>182</v>
      </c>
      <c r="G28" s="1">
        <f>SUM(G2:G26)</f>
        <v>26806.235250357797</v>
      </c>
      <c r="H28" t="s">
        <v>171</v>
      </c>
      <c r="I28" s="1">
        <f>SUM(I2:I26)</f>
        <v>20844.704245811929</v>
      </c>
      <c r="M28" s="1">
        <f>SUM(M2:M26)</f>
        <v>54.573691139240495</v>
      </c>
      <c r="N28" t="s">
        <v>182</v>
      </c>
      <c r="O28" s="1">
        <f>SUM(O2:O26)</f>
        <v>7001.1826752172537</v>
      </c>
      <c r="P28" t="s">
        <v>171</v>
      </c>
      <c r="Q28" s="1">
        <f>SUM(Q2:Q26)</f>
        <v>5406.4239537108206</v>
      </c>
      <c r="R28" t="s">
        <v>171</v>
      </c>
      <c r="T28" s="1">
        <f>SUM(T2:T26)</f>
        <v>64.44107341772154</v>
      </c>
      <c r="U28" t="s">
        <v>182</v>
      </c>
      <c r="V28" s="1">
        <f>SUM(V2:V26)</f>
        <v>8379.3506420678386</v>
      </c>
      <c r="W28" t="s">
        <v>171</v>
      </c>
      <c r="X28" s="1">
        <f>SUM(X2:X26)</f>
        <v>6494.0212701733344</v>
      </c>
    </row>
    <row r="29" spans="1:24" x14ac:dyDescent="0.3">
      <c r="G29" s="15">
        <f>G28/1000</f>
        <v>26.806235250357798</v>
      </c>
      <c r="H29" t="s">
        <v>172</v>
      </c>
      <c r="I29" s="15">
        <f>I28/1000</f>
        <v>20.844704245811929</v>
      </c>
      <c r="O29" s="15">
        <f>O28/1000</f>
        <v>7.0011826752172537</v>
      </c>
      <c r="P29" t="s">
        <v>172</v>
      </c>
      <c r="Q29" s="15">
        <f>Q28/1000</f>
        <v>5.4064239537108207</v>
      </c>
      <c r="R29" t="s">
        <v>172</v>
      </c>
      <c r="V29" s="15">
        <f>V28/1000</f>
        <v>8.3793506420678394</v>
      </c>
      <c r="W29" t="s">
        <v>172</v>
      </c>
      <c r="X29" s="15">
        <f>X28/1000</f>
        <v>6.4940212701733344</v>
      </c>
    </row>
    <row r="30" spans="1:24" x14ac:dyDescent="0.3">
      <c r="A30" t="s">
        <v>166</v>
      </c>
      <c r="J30" t="s">
        <v>166</v>
      </c>
    </row>
    <row r="31" spans="1:24" x14ac:dyDescent="0.3">
      <c r="A31" t="s">
        <v>173</v>
      </c>
      <c r="J31" t="s">
        <v>173</v>
      </c>
    </row>
    <row r="33" spans="1:9" x14ac:dyDescent="0.3">
      <c r="A33" t="s">
        <v>41</v>
      </c>
      <c r="B33" t="s">
        <v>4</v>
      </c>
      <c r="C33" t="s">
        <v>165</v>
      </c>
      <c r="D33" t="s">
        <v>167</v>
      </c>
      <c r="E33" t="s">
        <v>168</v>
      </c>
      <c r="F33" t="s">
        <v>169</v>
      </c>
      <c r="G33" t="s">
        <v>170</v>
      </c>
      <c r="H33" t="s">
        <v>174</v>
      </c>
      <c r="I33" t="s">
        <v>175</v>
      </c>
    </row>
    <row r="34" spans="1:9" x14ac:dyDescent="0.3">
      <c r="A34">
        <v>2026</v>
      </c>
      <c r="B34">
        <v>95</v>
      </c>
      <c r="C34">
        <v>482</v>
      </c>
      <c r="D34">
        <v>1080</v>
      </c>
      <c r="E34" s="14">
        <f>'Scenario calculation'!$B$39</f>
        <v>12.3841872</v>
      </c>
      <c r="F34" s="17">
        <f>(D34-C34)/D34</f>
        <v>0.5537037037037037</v>
      </c>
      <c r="G34" s="1">
        <f>E34*F34*B34</f>
        <v>651.43118040000002</v>
      </c>
      <c r="H34" s="13">
        <v>0.02</v>
      </c>
      <c r="I34" s="15">
        <f>G34/(1+H34)^(A34-A$2)</f>
        <v>651.43118040000002</v>
      </c>
    </row>
    <row r="35" spans="1:9" x14ac:dyDescent="0.3">
      <c r="A35">
        <v>2027</v>
      </c>
      <c r="B35">
        <v>100</v>
      </c>
      <c r="C35">
        <v>454</v>
      </c>
      <c r="D35">
        <v>1080</v>
      </c>
      <c r="E35" s="14">
        <f>'Scenario calculation'!$B$39</f>
        <v>12.3841872</v>
      </c>
      <c r="F35" s="17">
        <f t="shared" ref="F35:F57" si="20">(D35-C35)/D35</f>
        <v>0.57962962962962961</v>
      </c>
      <c r="G35" s="1">
        <f t="shared" ref="G35:G57" si="21">E35*F35*B35</f>
        <v>717.82418399999995</v>
      </c>
      <c r="H35" s="13">
        <v>0.02</v>
      </c>
      <c r="I35" s="15">
        <f>G35/(1+H35)^(A35-A$2)</f>
        <v>703.74919999999997</v>
      </c>
    </row>
    <row r="36" spans="1:9" x14ac:dyDescent="0.3">
      <c r="A36">
        <v>2028</v>
      </c>
      <c r="B36">
        <v>100</v>
      </c>
      <c r="C36">
        <v>426</v>
      </c>
      <c r="D36">
        <v>1080</v>
      </c>
      <c r="E36" s="14">
        <f>'Scenario calculation'!$B$39</f>
        <v>12.3841872</v>
      </c>
      <c r="F36" s="17">
        <f t="shared" si="20"/>
        <v>0.60555555555555551</v>
      </c>
      <c r="G36" s="1">
        <f t="shared" si="21"/>
        <v>749.93133599999999</v>
      </c>
      <c r="H36" s="13">
        <v>0.02</v>
      </c>
      <c r="I36" s="15">
        <f t="shared" ref="I36:I57" si="22">G36/(1+H36)^(A36-A$2)</f>
        <v>720.81058823529406</v>
      </c>
    </row>
    <row r="37" spans="1:9" x14ac:dyDescent="0.3">
      <c r="A37">
        <v>2029</v>
      </c>
      <c r="B37">
        <v>100</v>
      </c>
      <c r="C37">
        <v>398</v>
      </c>
      <c r="D37">
        <v>1080</v>
      </c>
      <c r="E37" s="14">
        <f>'Scenario calculation'!$B$39</f>
        <v>12.3841872</v>
      </c>
      <c r="F37" s="17">
        <f t="shared" si="20"/>
        <v>0.63148148148148153</v>
      </c>
      <c r="G37" s="1">
        <f t="shared" si="21"/>
        <v>782.03848800000003</v>
      </c>
      <c r="H37" s="13">
        <v>0.02</v>
      </c>
      <c r="I37" s="15">
        <f t="shared" si="22"/>
        <v>736.93233371780093</v>
      </c>
    </row>
    <row r="38" spans="1:9" x14ac:dyDescent="0.3">
      <c r="A38">
        <v>2030</v>
      </c>
      <c r="B38">
        <v>115</v>
      </c>
      <c r="C38">
        <v>370</v>
      </c>
      <c r="D38">
        <v>1080</v>
      </c>
      <c r="E38" s="14">
        <f>'Scenario calculation'!$B$39</f>
        <v>12.3841872</v>
      </c>
      <c r="F38" s="17">
        <f t="shared" si="20"/>
        <v>0.65740740740740744</v>
      </c>
      <c r="G38" s="1">
        <f t="shared" si="21"/>
        <v>936.26748600000008</v>
      </c>
      <c r="H38" s="13">
        <v>0.02</v>
      </c>
      <c r="I38" s="15">
        <f t="shared" si="22"/>
        <v>864.96643447844349</v>
      </c>
    </row>
    <row r="39" spans="1:9" x14ac:dyDescent="0.3">
      <c r="A39">
        <v>2031</v>
      </c>
      <c r="B39">
        <v>118</v>
      </c>
      <c r="D39">
        <v>1080</v>
      </c>
      <c r="E39" s="14">
        <f>'Scenario calculation'!$B$39</f>
        <v>12.3841872</v>
      </c>
      <c r="F39" s="17">
        <f t="shared" si="20"/>
        <v>1</v>
      </c>
      <c r="G39" s="1">
        <f t="shared" si="21"/>
        <v>1461.3340896</v>
      </c>
      <c r="H39" s="13">
        <v>0.02</v>
      </c>
      <c r="I39" s="15">
        <f t="shared" si="22"/>
        <v>1323.5753084054709</v>
      </c>
    </row>
    <row r="40" spans="1:9" x14ac:dyDescent="0.3">
      <c r="A40">
        <v>2032</v>
      </c>
      <c r="B40">
        <v>121</v>
      </c>
      <c r="D40">
        <v>1080</v>
      </c>
      <c r="E40" s="14">
        <f>'Scenario calculation'!$B$39</f>
        <v>12.3841872</v>
      </c>
      <c r="F40" s="17">
        <f t="shared" si="20"/>
        <v>1</v>
      </c>
      <c r="G40" s="1">
        <f t="shared" si="21"/>
        <v>1498.4866511999999</v>
      </c>
      <c r="H40" s="13">
        <v>0.02</v>
      </c>
      <c r="I40" s="15">
        <f t="shared" si="22"/>
        <v>1330.613262853622</v>
      </c>
    </row>
    <row r="41" spans="1:9" x14ac:dyDescent="0.3">
      <c r="A41">
        <v>2033</v>
      </c>
      <c r="B41">
        <v>124</v>
      </c>
      <c r="D41">
        <v>1080</v>
      </c>
      <c r="E41" s="14">
        <f>'Scenario calculation'!$B$39</f>
        <v>12.3841872</v>
      </c>
      <c r="F41" s="17">
        <f t="shared" si="20"/>
        <v>1</v>
      </c>
      <c r="G41" s="1">
        <f t="shared" si="21"/>
        <v>1535.6392128</v>
      </c>
      <c r="H41" s="13">
        <v>0.02</v>
      </c>
      <c r="I41" s="15">
        <f t="shared" si="22"/>
        <v>1336.8663473816982</v>
      </c>
    </row>
    <row r="42" spans="1:9" x14ac:dyDescent="0.3">
      <c r="A42">
        <v>2034</v>
      </c>
      <c r="B42">
        <v>127</v>
      </c>
      <c r="D42">
        <v>1080</v>
      </c>
      <c r="E42" s="14">
        <f>'Scenario calculation'!$B$39</f>
        <v>12.3841872</v>
      </c>
      <c r="F42" s="17">
        <f t="shared" si="20"/>
        <v>1</v>
      </c>
      <c r="G42" s="1">
        <f t="shared" si="21"/>
        <v>1572.7917743999999</v>
      </c>
      <c r="H42" s="13">
        <v>0.02</v>
      </c>
      <c r="I42" s="15">
        <f t="shared" si="22"/>
        <v>1342.3626353374102</v>
      </c>
    </row>
    <row r="43" spans="1:9" x14ac:dyDescent="0.3">
      <c r="A43">
        <v>2035</v>
      </c>
      <c r="B43">
        <v>130</v>
      </c>
      <c r="D43">
        <v>1080</v>
      </c>
      <c r="E43" s="14">
        <f>'Scenario calculation'!$B$39</f>
        <v>12.3841872</v>
      </c>
      <c r="F43" s="17">
        <f t="shared" si="20"/>
        <v>1</v>
      </c>
      <c r="G43" s="1">
        <f t="shared" si="21"/>
        <v>1609.944336</v>
      </c>
      <c r="H43" s="13">
        <v>0.02</v>
      </c>
      <c r="I43" s="15">
        <f t="shared" si="22"/>
        <v>1347.1294009098606</v>
      </c>
    </row>
    <row r="44" spans="1:9" x14ac:dyDescent="0.3">
      <c r="A44">
        <v>2036</v>
      </c>
      <c r="B44" s="14">
        <f>B43*1.015</f>
        <v>131.94999999999999</v>
      </c>
      <c r="D44">
        <v>1080</v>
      </c>
      <c r="E44" s="14">
        <f>'Scenario calculation'!$B$39</f>
        <v>12.3841872</v>
      </c>
      <c r="F44" s="17">
        <f t="shared" si="20"/>
        <v>1</v>
      </c>
      <c r="G44" s="1">
        <f t="shared" si="21"/>
        <v>1634.0935010399999</v>
      </c>
      <c r="H44" s="13">
        <v>0.02</v>
      </c>
      <c r="I44" s="15">
        <f t="shared" si="22"/>
        <v>1340.5258254152043</v>
      </c>
    </row>
    <row r="45" spans="1:9" x14ac:dyDescent="0.3">
      <c r="A45">
        <v>2037</v>
      </c>
      <c r="B45" s="14">
        <f t="shared" ref="B45:B47" si="23">B44*1.015</f>
        <v>133.92924999999997</v>
      </c>
      <c r="D45">
        <v>1080</v>
      </c>
      <c r="E45" s="14">
        <f>'Scenario calculation'!$B$39</f>
        <v>12.3841872</v>
      </c>
      <c r="F45" s="17">
        <f t="shared" si="20"/>
        <v>1</v>
      </c>
      <c r="G45" s="1">
        <f t="shared" si="21"/>
        <v>1658.6049035555995</v>
      </c>
      <c r="H45" s="13">
        <v>0.02</v>
      </c>
      <c r="I45" s="15">
        <f t="shared" si="22"/>
        <v>1333.9546203886591</v>
      </c>
    </row>
    <row r="46" spans="1:9" x14ac:dyDescent="0.3">
      <c r="A46">
        <v>2038</v>
      </c>
      <c r="B46" s="14">
        <f t="shared" si="23"/>
        <v>135.93818874999997</v>
      </c>
      <c r="D46">
        <v>1080</v>
      </c>
      <c r="E46" s="14">
        <f>'Scenario calculation'!$B$39</f>
        <v>12.3841872</v>
      </c>
      <c r="F46" s="17">
        <f t="shared" si="20"/>
        <v>1</v>
      </c>
      <c r="G46" s="1">
        <f t="shared" si="21"/>
        <v>1683.4839771089335</v>
      </c>
      <c r="H46" s="13">
        <v>0.02</v>
      </c>
      <c r="I46" s="15">
        <f t="shared" si="22"/>
        <v>1327.4156271514594</v>
      </c>
    </row>
    <row r="47" spans="1:9" x14ac:dyDescent="0.3">
      <c r="A47">
        <v>2039</v>
      </c>
      <c r="B47" s="14">
        <f t="shared" si="23"/>
        <v>137.97726158124996</v>
      </c>
      <c r="D47">
        <v>1080</v>
      </c>
      <c r="E47" s="14">
        <f>'Scenario calculation'!$B$39</f>
        <v>12.3841872</v>
      </c>
      <c r="F47" s="17">
        <f t="shared" si="20"/>
        <v>1</v>
      </c>
      <c r="G47" s="1">
        <f t="shared" si="21"/>
        <v>1708.7362367655676</v>
      </c>
      <c r="H47" s="13">
        <v>0.02</v>
      </c>
      <c r="I47" s="15">
        <f t="shared" si="22"/>
        <v>1320.9086878026781</v>
      </c>
    </row>
    <row r="48" spans="1:9" x14ac:dyDescent="0.3">
      <c r="A48">
        <v>2040</v>
      </c>
      <c r="B48" s="14">
        <f>B47*1.015</f>
        <v>140.04692050496871</v>
      </c>
      <c r="D48">
        <v>1080</v>
      </c>
      <c r="E48" s="14">
        <f>'Scenario calculation'!$B$39</f>
        <v>12.3841872</v>
      </c>
      <c r="F48" s="17">
        <f t="shared" si="20"/>
        <v>1</v>
      </c>
      <c r="G48" s="1">
        <f t="shared" si="21"/>
        <v>1734.3672803170509</v>
      </c>
      <c r="H48" s="13">
        <v>0.02</v>
      </c>
      <c r="I48" s="15">
        <f t="shared" si="22"/>
        <v>1314.4336452154098</v>
      </c>
    </row>
    <row r="49" spans="1:9" x14ac:dyDescent="0.3">
      <c r="A49">
        <v>2041</v>
      </c>
      <c r="B49" s="14">
        <f t="shared" ref="B49:B57" si="24">B48*1.015</f>
        <v>142.14762431254323</v>
      </c>
      <c r="D49">
        <v>1080</v>
      </c>
      <c r="E49" s="14">
        <f>'Scenario calculation'!$B$39</f>
        <v>12.3841872</v>
      </c>
      <c r="F49" s="17">
        <f t="shared" si="20"/>
        <v>1</v>
      </c>
      <c r="G49" s="1">
        <f t="shared" si="21"/>
        <v>1760.3827895218067</v>
      </c>
      <c r="H49" s="13">
        <v>0.02</v>
      </c>
      <c r="I49" s="15">
        <f t="shared" si="22"/>
        <v>1307.9903430329816</v>
      </c>
    </row>
    <row r="50" spans="1:9" x14ac:dyDescent="0.3">
      <c r="A50">
        <v>2042</v>
      </c>
      <c r="B50" s="14">
        <f t="shared" si="24"/>
        <v>144.27983867723137</v>
      </c>
      <c r="D50">
        <v>1080</v>
      </c>
      <c r="E50" s="14">
        <f>'Scenario calculation'!$B$39</f>
        <v>12.3841872</v>
      </c>
      <c r="F50" s="17">
        <f t="shared" si="20"/>
        <v>1</v>
      </c>
      <c r="G50" s="1">
        <f t="shared" si="21"/>
        <v>1786.7885313646336</v>
      </c>
      <c r="H50" s="13">
        <v>0.02</v>
      </c>
      <c r="I50" s="15">
        <f t="shared" si="22"/>
        <v>1301.5786256651725</v>
      </c>
    </row>
    <row r="51" spans="1:9" x14ac:dyDescent="0.3">
      <c r="A51">
        <v>2043</v>
      </c>
      <c r="B51" s="14">
        <f t="shared" si="24"/>
        <v>146.44403625738983</v>
      </c>
      <c r="D51">
        <v>1080</v>
      </c>
      <c r="E51" s="14">
        <f>'Scenario calculation'!$B$39</f>
        <v>12.3841872</v>
      </c>
      <c r="F51" s="17">
        <f t="shared" si="20"/>
        <v>1</v>
      </c>
      <c r="G51" s="1">
        <f t="shared" si="21"/>
        <v>1813.5903593351029</v>
      </c>
      <c r="H51" s="13">
        <v>0.02</v>
      </c>
      <c r="I51" s="15">
        <f t="shared" si="22"/>
        <v>1295.1983382844605</v>
      </c>
    </row>
    <row r="52" spans="1:9" x14ac:dyDescent="0.3">
      <c r="A52">
        <v>2044</v>
      </c>
      <c r="B52" s="14">
        <f t="shared" si="24"/>
        <v>148.64069680125067</v>
      </c>
      <c r="D52">
        <v>1080</v>
      </c>
      <c r="E52" s="14">
        <f>'Scenario calculation'!$B$39</f>
        <v>12.3841872</v>
      </c>
      <c r="F52" s="17">
        <f t="shared" si="20"/>
        <v>1</v>
      </c>
      <c r="G52" s="1">
        <f t="shared" si="21"/>
        <v>1840.7942147251295</v>
      </c>
      <c r="H52" s="13">
        <v>0.02</v>
      </c>
      <c r="I52" s="15">
        <f t="shared" si="22"/>
        <v>1288.8493268222821</v>
      </c>
    </row>
    <row r="53" spans="1:9" x14ac:dyDescent="0.3">
      <c r="A53">
        <v>2045</v>
      </c>
      <c r="B53" s="14">
        <f t="shared" si="24"/>
        <v>150.8703072532694</v>
      </c>
      <c r="D53">
        <v>1080</v>
      </c>
      <c r="E53" s="14">
        <f>'Scenario calculation'!$B$39</f>
        <v>12.3841872</v>
      </c>
      <c r="F53" s="17">
        <f t="shared" si="20"/>
        <v>1</v>
      </c>
      <c r="G53" s="1">
        <f t="shared" si="21"/>
        <v>1868.4061279460061</v>
      </c>
      <c r="H53" s="13">
        <v>0.02</v>
      </c>
      <c r="I53" s="15">
        <f t="shared" si="22"/>
        <v>1282.5314379653098</v>
      </c>
    </row>
    <row r="54" spans="1:9" x14ac:dyDescent="0.3">
      <c r="A54">
        <v>2046</v>
      </c>
      <c r="B54" s="14">
        <f t="shared" si="24"/>
        <v>153.13336186206843</v>
      </c>
      <c r="D54">
        <v>1080</v>
      </c>
      <c r="E54" s="14">
        <f>'Scenario calculation'!$B$39</f>
        <v>12.3841872</v>
      </c>
      <c r="F54" s="17">
        <f t="shared" si="20"/>
        <v>1</v>
      </c>
      <c r="G54" s="1">
        <f t="shared" si="21"/>
        <v>1896.432219865196</v>
      </c>
      <c r="H54" s="13">
        <v>0.02</v>
      </c>
      <c r="I54" s="15">
        <f t="shared" si="22"/>
        <v>1276.2445191517543</v>
      </c>
    </row>
    <row r="55" spans="1:9" x14ac:dyDescent="0.3">
      <c r="A55">
        <v>2047</v>
      </c>
      <c r="B55" s="14">
        <f t="shared" si="24"/>
        <v>155.43036228999944</v>
      </c>
      <c r="D55">
        <v>1080</v>
      </c>
      <c r="E55" s="14">
        <f>'Scenario calculation'!$B$39</f>
        <v>12.3841872</v>
      </c>
      <c r="F55" s="17">
        <f t="shared" si="20"/>
        <v>1</v>
      </c>
      <c r="G55" s="1">
        <f t="shared" si="21"/>
        <v>1924.8787031631737</v>
      </c>
      <c r="H55" s="13">
        <v>0.02</v>
      </c>
      <c r="I55" s="15">
        <f t="shared" si="22"/>
        <v>1269.9884185676769</v>
      </c>
    </row>
    <row r="56" spans="1:9" x14ac:dyDescent="0.3">
      <c r="A56">
        <v>2048</v>
      </c>
      <c r="B56" s="14">
        <f t="shared" si="24"/>
        <v>157.76181772434941</v>
      </c>
      <c r="D56">
        <v>1080</v>
      </c>
      <c r="E56" s="14">
        <f>'Scenario calculation'!$B$39</f>
        <v>12.3841872</v>
      </c>
      <c r="F56" s="17">
        <f t="shared" si="20"/>
        <v>1</v>
      </c>
      <c r="G56" s="1">
        <f t="shared" si="21"/>
        <v>1953.7518837106211</v>
      </c>
      <c r="H56" s="13">
        <v>0.02</v>
      </c>
      <c r="I56" s="15">
        <f t="shared" si="22"/>
        <v>1263.7629851433253</v>
      </c>
    </row>
    <row r="57" spans="1:9" x14ac:dyDescent="0.3">
      <c r="A57">
        <v>2049</v>
      </c>
      <c r="B57" s="14">
        <f t="shared" si="24"/>
        <v>160.12824499021463</v>
      </c>
      <c r="D57">
        <v>1080</v>
      </c>
      <c r="E57" s="14">
        <f>'Scenario calculation'!$B$39</f>
        <v>12.3841872</v>
      </c>
      <c r="F57" s="17">
        <f t="shared" si="20"/>
        <v>1</v>
      </c>
      <c r="G57" s="1">
        <f t="shared" si="21"/>
        <v>1983.0581619662801</v>
      </c>
      <c r="H57" s="13">
        <v>0.02</v>
      </c>
      <c r="I57" s="15">
        <f t="shared" si="22"/>
        <v>1257.5680685494856</v>
      </c>
    </row>
    <row r="59" spans="1:9" x14ac:dyDescent="0.3">
      <c r="E59" s="1">
        <f>SUM(E34:E57)</f>
        <v>297.22049279999982</v>
      </c>
      <c r="F59" t="s">
        <v>182</v>
      </c>
      <c r="G59" s="1">
        <f>SUM(G34:G57)</f>
        <v>36763.0576287851</v>
      </c>
      <c r="H59" t="s">
        <v>171</v>
      </c>
      <c r="I59" s="1">
        <f>SUM(I34:I57)</f>
        <v>28539.38716087546</v>
      </c>
    </row>
    <row r="60" spans="1:9" x14ac:dyDescent="0.3">
      <c r="G60" s="15">
        <f>G59/1000</f>
        <v>36.763057628785099</v>
      </c>
      <c r="H60" t="s">
        <v>172</v>
      </c>
      <c r="I60" s="15">
        <f>I59/1000</f>
        <v>28.53938716087546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AC81-DDB1-4963-A0A2-DD5C0E124B21}">
  <dimension ref="A1:N25"/>
  <sheetViews>
    <sheetView tabSelected="1" topLeftCell="A10" workbookViewId="0">
      <selection activeCell="B18" sqref="B18"/>
    </sheetView>
  </sheetViews>
  <sheetFormatPr defaultRowHeight="14.4" x14ac:dyDescent="0.3"/>
  <cols>
    <col min="1" max="1" width="33.21875" customWidth="1"/>
    <col min="2" max="2" width="28.6640625" customWidth="1"/>
    <col min="3" max="7" width="13.6640625" bestFit="1" customWidth="1"/>
    <col min="10" max="10" width="6.77734375" customWidth="1"/>
    <col min="11" max="11" width="13.21875" customWidth="1"/>
    <col min="13" max="13" width="14.109375" customWidth="1"/>
  </cols>
  <sheetData>
    <row r="1" spans="1:14" x14ac:dyDescent="0.3">
      <c r="A1" s="4" t="s">
        <v>248</v>
      </c>
      <c r="B1" s="4" t="s">
        <v>42</v>
      </c>
      <c r="C1" s="4">
        <v>2023</v>
      </c>
      <c r="D1" s="4">
        <v>2024</v>
      </c>
      <c r="E1" s="4">
        <v>2025</v>
      </c>
      <c r="F1" s="4">
        <v>2026</v>
      </c>
      <c r="G1" s="4">
        <v>2027</v>
      </c>
      <c r="K1" t="s">
        <v>43</v>
      </c>
      <c r="L1">
        <v>1463</v>
      </c>
      <c r="M1" t="s">
        <v>44</v>
      </c>
      <c r="N1" s="3" t="s">
        <v>45</v>
      </c>
    </row>
    <row r="2" spans="1:14" x14ac:dyDescent="0.3">
      <c r="A2" t="s">
        <v>46</v>
      </c>
      <c r="B2" t="s">
        <v>47</v>
      </c>
      <c r="C2">
        <v>13558</v>
      </c>
      <c r="D2">
        <v>13880</v>
      </c>
      <c r="E2">
        <v>13645</v>
      </c>
      <c r="F2">
        <v>13470</v>
      </c>
      <c r="G2">
        <v>13470</v>
      </c>
    </row>
    <row r="3" spans="1:14" x14ac:dyDescent="0.3">
      <c r="A3" s="6" t="s">
        <v>46</v>
      </c>
      <c r="B3" s="6" t="s">
        <v>48</v>
      </c>
      <c r="C3" s="9">
        <v>0.3</v>
      </c>
      <c r="D3" s="9">
        <v>0.3</v>
      </c>
      <c r="E3" s="9">
        <v>0.3</v>
      </c>
      <c r="F3" s="9">
        <v>0.3</v>
      </c>
      <c r="G3" s="9">
        <v>0.3</v>
      </c>
    </row>
    <row r="4" spans="1:14" x14ac:dyDescent="0.3">
      <c r="A4" t="s">
        <v>46</v>
      </c>
      <c r="B4" t="s">
        <v>50</v>
      </c>
      <c r="C4" s="10">
        <f>3600000/C3</f>
        <v>12000000</v>
      </c>
      <c r="D4" s="10">
        <f t="shared" ref="D4:G4" si="0">3600000/D3</f>
        <v>12000000</v>
      </c>
      <c r="E4" s="10">
        <f t="shared" si="0"/>
        <v>12000000</v>
      </c>
      <c r="F4" s="10">
        <f t="shared" si="0"/>
        <v>12000000</v>
      </c>
      <c r="G4" s="10">
        <f t="shared" si="0"/>
        <v>12000000</v>
      </c>
    </row>
    <row r="5" spans="1:14" x14ac:dyDescent="0.3">
      <c r="A5" t="s">
        <v>46</v>
      </c>
      <c r="B5" t="s">
        <v>52</v>
      </c>
      <c r="C5" s="11">
        <f>C4/C2</f>
        <v>885.08629591385159</v>
      </c>
      <c r="D5" s="11">
        <f t="shared" ref="D5:G5" si="1">D4/D2</f>
        <v>864.55331412103749</v>
      </c>
      <c r="E5" s="11">
        <f t="shared" si="1"/>
        <v>879.44301942103334</v>
      </c>
      <c r="F5" s="11">
        <f t="shared" si="1"/>
        <v>890.86859688195989</v>
      </c>
      <c r="G5" s="11">
        <f t="shared" si="1"/>
        <v>890.86859688195989</v>
      </c>
    </row>
    <row r="6" spans="1:14" s="4" customFormat="1" x14ac:dyDescent="0.3">
      <c r="A6" s="4" t="s">
        <v>46</v>
      </c>
      <c r="B6" s="4" t="s">
        <v>53</v>
      </c>
      <c r="C6" s="12">
        <f>C5*$L$1/1000</f>
        <v>1294.8812509219649</v>
      </c>
      <c r="D6" s="12">
        <f t="shared" ref="D6:G6" si="2">D5*$L$1/1000</f>
        <v>1264.8414985590778</v>
      </c>
      <c r="E6" s="12">
        <f t="shared" si="2"/>
        <v>1286.6251374129718</v>
      </c>
      <c r="F6" s="12">
        <f t="shared" si="2"/>
        <v>1303.3407572383073</v>
      </c>
      <c r="G6" s="12">
        <f t="shared" si="2"/>
        <v>1303.3407572383073</v>
      </c>
    </row>
    <row r="7" spans="1:14" x14ac:dyDescent="0.3">
      <c r="A7" t="s">
        <v>18</v>
      </c>
      <c r="B7" t="s">
        <v>47</v>
      </c>
      <c r="C7">
        <v>16303</v>
      </c>
      <c r="D7">
        <v>16273</v>
      </c>
      <c r="E7">
        <v>16213</v>
      </c>
      <c r="F7">
        <v>16200</v>
      </c>
      <c r="G7">
        <v>16200</v>
      </c>
    </row>
    <row r="8" spans="1:14" x14ac:dyDescent="0.3">
      <c r="A8" s="6" t="s">
        <v>18</v>
      </c>
      <c r="B8" s="6" t="s">
        <v>48</v>
      </c>
      <c r="C8" s="9">
        <v>0.3</v>
      </c>
      <c r="D8" s="9">
        <v>0.3</v>
      </c>
      <c r="E8" s="9">
        <v>0.3</v>
      </c>
      <c r="F8" s="9">
        <v>0.3</v>
      </c>
      <c r="G8" s="9">
        <v>0.3</v>
      </c>
    </row>
    <row r="9" spans="1:14" x14ac:dyDescent="0.3">
      <c r="A9" t="s">
        <v>18</v>
      </c>
      <c r="B9" t="s">
        <v>50</v>
      </c>
      <c r="C9" s="10">
        <f>3600000/C8</f>
        <v>12000000</v>
      </c>
      <c r="D9" s="10">
        <f t="shared" ref="D9:G9" si="3">3600000/D8</f>
        <v>12000000</v>
      </c>
      <c r="E9" s="10">
        <f t="shared" si="3"/>
        <v>12000000</v>
      </c>
      <c r="F9" s="10">
        <f t="shared" si="3"/>
        <v>12000000</v>
      </c>
      <c r="G9" s="10">
        <f t="shared" si="3"/>
        <v>12000000</v>
      </c>
    </row>
    <row r="10" spans="1:14" x14ac:dyDescent="0.3">
      <c r="A10" t="s">
        <v>18</v>
      </c>
      <c r="B10" t="s">
        <v>52</v>
      </c>
      <c r="C10" s="11">
        <f>C9/C7</f>
        <v>736.06084769674294</v>
      </c>
      <c r="D10" s="11">
        <f t="shared" ref="D10:G10" si="4">D9/D7</f>
        <v>737.41780864007865</v>
      </c>
      <c r="E10" s="11">
        <f t="shared" si="4"/>
        <v>740.14679578116329</v>
      </c>
      <c r="F10" s="11">
        <f t="shared" si="4"/>
        <v>740.74074074074076</v>
      </c>
      <c r="G10" s="11">
        <f t="shared" si="4"/>
        <v>740.74074074074076</v>
      </c>
    </row>
    <row r="11" spans="1:14" s="4" customFormat="1" x14ac:dyDescent="0.3">
      <c r="A11" s="4" t="s">
        <v>18</v>
      </c>
      <c r="B11" s="4" t="s">
        <v>53</v>
      </c>
      <c r="C11" s="12">
        <f>C10*$L$1/1000</f>
        <v>1076.857020180335</v>
      </c>
      <c r="D11" s="12">
        <f t="shared" ref="D11:G11" si="5">D10*$L$1/1000</f>
        <v>1078.8422540404349</v>
      </c>
      <c r="E11" s="12">
        <f t="shared" si="5"/>
        <v>1082.8347622278418</v>
      </c>
      <c r="F11" s="12">
        <f t="shared" si="5"/>
        <v>1083.7037037037039</v>
      </c>
      <c r="G11" s="12">
        <f t="shared" si="5"/>
        <v>1083.7037037037039</v>
      </c>
    </row>
    <row r="13" spans="1:14" x14ac:dyDescent="0.3">
      <c r="A13" t="s">
        <v>49</v>
      </c>
    </row>
    <row r="14" spans="1:14" x14ac:dyDescent="0.3">
      <c r="A14" t="s">
        <v>51</v>
      </c>
    </row>
    <row r="17" spans="1:9" ht="16.2" x14ac:dyDescent="0.3">
      <c r="A17" s="4" t="s">
        <v>41</v>
      </c>
      <c r="B17" s="39">
        <v>2015</v>
      </c>
      <c r="C17" s="39" t="s">
        <v>190</v>
      </c>
      <c r="D17" s="39" t="s">
        <v>191</v>
      </c>
      <c r="E17" s="39" t="s">
        <v>192</v>
      </c>
      <c r="F17" s="39" t="s">
        <v>193</v>
      </c>
      <c r="G17" s="39" t="s">
        <v>194</v>
      </c>
      <c r="H17" s="39" t="s">
        <v>252</v>
      </c>
    </row>
    <row r="18" spans="1:9" x14ac:dyDescent="0.3">
      <c r="A18" t="s">
        <v>249</v>
      </c>
      <c r="B18" s="1">
        <f>'Table A7–9'!F7</f>
        <v>12546.356</v>
      </c>
      <c r="C18" s="1">
        <f>'Table A7–9'!G7</f>
        <v>11389.512000000001</v>
      </c>
      <c r="D18" s="1">
        <f>'Table A7–9'!H7</f>
        <v>8710.1139999999996</v>
      </c>
      <c r="E18" s="1">
        <f>'Table A7–9'!I7</f>
        <v>11102.941000000001</v>
      </c>
      <c r="F18" s="1">
        <f>'Table A7–9'!J7</f>
        <v>9843.4419999999991</v>
      </c>
      <c r="G18" s="1">
        <f>'Table A7–9'!K7</f>
        <v>9167.7960000000003</v>
      </c>
      <c r="H18" s="1">
        <f>'Table A7–9'!L7</f>
        <v>7544.9889999999996</v>
      </c>
    </row>
    <row r="19" spans="1:9" x14ac:dyDescent="0.3">
      <c r="A19" t="s">
        <v>250</v>
      </c>
      <c r="B19" s="1">
        <f>'Table A7–9'!F16</f>
        <v>12088.419</v>
      </c>
      <c r="C19" s="1">
        <f>'Table A7–9'!G16</f>
        <v>10035.4</v>
      </c>
      <c r="D19" s="1">
        <f>'Table A7–9'!H16</f>
        <v>7890.2430000000004</v>
      </c>
      <c r="E19" s="1">
        <f>'Table A7–9'!I16</f>
        <v>9650.3529999999992</v>
      </c>
      <c r="F19" s="1">
        <f>'Table A7–9'!J16</f>
        <v>8537.5640000000003</v>
      </c>
      <c r="G19" s="1">
        <f>'Table A7–9'!K16</f>
        <v>7934.8549999999996</v>
      </c>
      <c r="H19" s="1">
        <f>'Table A7–9'!L16</f>
        <v>7045.6769999999997</v>
      </c>
    </row>
    <row r="20" spans="1:9" x14ac:dyDescent="0.3">
      <c r="A20" s="128" t="s">
        <v>255</v>
      </c>
      <c r="B20" s="129">
        <f>B18/B19*1000</f>
        <v>1037.8822904798385</v>
      </c>
      <c r="C20" s="129">
        <f t="shared" ref="C20:H20" si="6">C18/C19*1000</f>
        <v>1134.9335352850908</v>
      </c>
      <c r="D20" s="129">
        <f t="shared" si="6"/>
        <v>1103.9094740174669</v>
      </c>
      <c r="E20" s="129">
        <f t="shared" si="6"/>
        <v>1150.5217477536833</v>
      </c>
      <c r="F20" s="129">
        <f t="shared" si="6"/>
        <v>1152.9567450387485</v>
      </c>
      <c r="G20" s="129">
        <f t="shared" si="6"/>
        <v>1155.3829276023318</v>
      </c>
      <c r="H20" s="129">
        <f t="shared" si="6"/>
        <v>1070.8678527272823</v>
      </c>
      <c r="I20" s="1">
        <f>AVERAGE(D20:H20)</f>
        <v>1126.7277494279026</v>
      </c>
    </row>
    <row r="21" spans="1:9" x14ac:dyDescent="0.3">
      <c r="A21" t="s">
        <v>251</v>
      </c>
      <c r="B21" s="1">
        <f>'Table A7–9'!F8</f>
        <v>3615.462</v>
      </c>
      <c r="C21" s="1">
        <f>'Table A7–9'!G8</f>
        <v>4598.0780000000004</v>
      </c>
      <c r="D21" s="1">
        <f>'Table A7–9'!H8</f>
        <v>5172.652</v>
      </c>
      <c r="E21" s="1">
        <f>'Table A7–9'!I8</f>
        <v>4968.9160000000002</v>
      </c>
      <c r="F21" s="1">
        <f>'Table A7–9'!J8</f>
        <v>4948.817</v>
      </c>
      <c r="G21" s="1">
        <f>'Table A7–9'!K8</f>
        <v>5423.607</v>
      </c>
      <c r="H21" s="1">
        <f>'Table A7–9'!L8</f>
        <v>5639.0330000000004</v>
      </c>
    </row>
    <row r="22" spans="1:9" x14ac:dyDescent="0.3">
      <c r="A22" t="s">
        <v>253</v>
      </c>
      <c r="B22" s="1">
        <f>'Table A7–9'!F17</f>
        <v>6992.16</v>
      </c>
      <c r="C22" s="1">
        <f>'Table A7–9'!G17</f>
        <v>9270.3559999999998</v>
      </c>
      <c r="D22" s="1">
        <f>'Table A7–9'!H17</f>
        <v>10892.209000000001</v>
      </c>
      <c r="E22" s="1">
        <f>'Table A7–9'!I17</f>
        <v>10844.793</v>
      </c>
      <c r="F22" s="1">
        <f>'Table A7–9'!J17</f>
        <v>10384.648999999999</v>
      </c>
      <c r="G22" s="1">
        <f>'Table A7–9'!K17</f>
        <v>11650.075000000001</v>
      </c>
      <c r="H22" s="1">
        <f>'Table A7–9'!L17</f>
        <v>12537.527</v>
      </c>
    </row>
    <row r="23" spans="1:9" x14ac:dyDescent="0.3">
      <c r="A23" s="128" t="s">
        <v>254</v>
      </c>
      <c r="B23" s="129">
        <f>B21/B22*1000</f>
        <v>517.07369396581316</v>
      </c>
      <c r="C23" s="129">
        <f t="shared" ref="C23:H23" si="7">C21/C22*1000</f>
        <v>495.99799619345805</v>
      </c>
      <c r="D23" s="129">
        <f t="shared" si="7"/>
        <v>474.89467012614244</v>
      </c>
      <c r="E23" s="129">
        <f t="shared" si="7"/>
        <v>458.1844946233644</v>
      </c>
      <c r="F23" s="129">
        <f t="shared" si="7"/>
        <v>476.55120553424581</v>
      </c>
      <c r="G23" s="129">
        <f t="shared" si="7"/>
        <v>465.54266818024774</v>
      </c>
      <c r="H23" s="129">
        <f t="shared" si="7"/>
        <v>449.7723514374087</v>
      </c>
    </row>
    <row r="24" spans="1:9" x14ac:dyDescent="0.3">
      <c r="A24" t="s">
        <v>256</v>
      </c>
    </row>
    <row r="25" spans="1:9" x14ac:dyDescent="0.3">
      <c r="A25" t="s">
        <v>257</v>
      </c>
    </row>
  </sheetData>
  <hyperlinks>
    <hyperlink ref="N1" r:id="rId1" xr:uid="{5FB279B8-0F36-4D52-AC81-3FE2A4B5BD8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3C13-B013-4BE9-AB56-FC74FFD627A9}">
  <sheetPr>
    <tabColor theme="3" tint="0.59999389629810485"/>
    <pageSetUpPr fitToPage="1"/>
  </sheetPr>
  <dimension ref="A1:Y74"/>
  <sheetViews>
    <sheetView showGridLines="0" zoomScaleNormal="100" workbookViewId="0">
      <pane xSplit="2" topLeftCell="C1" activePane="topRight" state="frozen"/>
      <selection pane="topRight" activeCell="A67" sqref="A67"/>
    </sheetView>
  </sheetViews>
  <sheetFormatPr defaultColWidth="10" defaultRowHeight="14.4" x14ac:dyDescent="0.3"/>
  <cols>
    <col min="1" max="1" width="13" style="31" customWidth="1"/>
    <col min="2" max="2" width="41.21875" style="31" customWidth="1"/>
    <col min="3" max="5" width="11.33203125" style="31" customWidth="1"/>
    <col min="6" max="6" width="11.33203125" style="36" customWidth="1"/>
    <col min="7" max="12" width="11.33203125" style="31" customWidth="1"/>
    <col min="13" max="13" width="1.109375" style="31" customWidth="1"/>
    <col min="14" max="16" width="9.109375" style="31" customWidth="1"/>
    <col min="17" max="20" width="9.109375" style="31" bestFit="1" customWidth="1"/>
    <col min="21" max="21" width="9.109375" style="33" bestFit="1" customWidth="1"/>
    <col min="22" max="22" width="10.77734375" style="31" customWidth="1"/>
    <col min="23" max="16384" width="10" style="31"/>
  </cols>
  <sheetData>
    <row r="1" spans="1:25" x14ac:dyDescent="0.3">
      <c r="A1" s="31" t="str">
        <f ca="1">MID(CELL("filename",B1),FIND("]",CELL("filename",B1))+1,256)</f>
        <v>Table A7–9</v>
      </c>
      <c r="B1" s="32" t="s">
        <v>189</v>
      </c>
      <c r="C1" s="32"/>
      <c r="D1" s="33"/>
      <c r="F1" s="34"/>
      <c r="G1" s="32"/>
      <c r="H1" s="32"/>
      <c r="I1" s="32"/>
      <c r="J1" s="32"/>
      <c r="K1" s="32"/>
      <c r="L1" s="32"/>
    </row>
    <row r="2" spans="1:25" x14ac:dyDescent="0.3">
      <c r="B2" s="35"/>
      <c r="C2" s="32"/>
      <c r="D2" s="33"/>
      <c r="F2" s="34"/>
      <c r="G2" s="32"/>
      <c r="H2" s="32"/>
      <c r="I2" s="32"/>
      <c r="J2" s="32"/>
      <c r="K2" s="32"/>
      <c r="L2" s="32"/>
    </row>
    <row r="3" spans="1:25" s="36" customFormat="1" ht="16.2" x14ac:dyDescent="0.3">
      <c r="B3" s="37"/>
      <c r="C3" s="38">
        <v>1990</v>
      </c>
      <c r="D3" s="38">
        <v>2005</v>
      </c>
      <c r="E3" s="39">
        <v>2010</v>
      </c>
      <c r="F3" s="39">
        <v>2015</v>
      </c>
      <c r="G3" s="39" t="s">
        <v>190</v>
      </c>
      <c r="H3" s="39" t="s">
        <v>191</v>
      </c>
      <c r="I3" s="39" t="s">
        <v>192</v>
      </c>
      <c r="J3" s="39" t="s">
        <v>193</v>
      </c>
      <c r="K3" s="39" t="s">
        <v>194</v>
      </c>
      <c r="L3" s="39" t="s">
        <v>195</v>
      </c>
    </row>
    <row r="4" spans="1:25" s="36" customFormat="1" ht="16.2" x14ac:dyDescent="0.3">
      <c r="B4" s="40"/>
      <c r="C4" s="41" t="s">
        <v>196</v>
      </c>
      <c r="D4" s="42"/>
      <c r="E4" s="42"/>
      <c r="F4" s="42"/>
      <c r="G4" s="43"/>
      <c r="H4" s="43"/>
      <c r="I4" s="43"/>
      <c r="J4" s="43"/>
      <c r="K4" s="43"/>
      <c r="L4" s="43"/>
      <c r="M4" s="43"/>
    </row>
    <row r="5" spans="1:25" ht="15.6" x14ac:dyDescent="0.35">
      <c r="B5" s="44"/>
      <c r="C5" s="45" t="s">
        <v>197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35"/>
      <c r="O5" s="35"/>
      <c r="P5" s="35"/>
      <c r="Q5" s="35"/>
      <c r="R5" s="35"/>
      <c r="S5" s="35"/>
      <c r="T5" s="35"/>
      <c r="U5" s="35"/>
    </row>
    <row r="6" spans="1:25" ht="15.6" x14ac:dyDescent="0.3">
      <c r="B6" s="40" t="s">
        <v>198</v>
      </c>
      <c r="C6" s="46">
        <v>11119.857</v>
      </c>
      <c r="D6" s="46">
        <v>15264.055</v>
      </c>
      <c r="E6" s="46">
        <v>16193.823</v>
      </c>
      <c r="F6" s="46">
        <v>16170.939</v>
      </c>
      <c r="G6" s="46">
        <v>15993.391</v>
      </c>
      <c r="H6" s="46">
        <v>13887.460999999999</v>
      </c>
      <c r="I6" s="46">
        <v>16077.382</v>
      </c>
      <c r="J6" s="47">
        <v>14803.869000000001</v>
      </c>
      <c r="K6" s="47">
        <v>14600.800999999999</v>
      </c>
      <c r="L6" s="48">
        <v>13192.866</v>
      </c>
      <c r="M6" s="49"/>
      <c r="N6" s="49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25" ht="15.6" x14ac:dyDescent="0.3">
      <c r="B7" s="51" t="s">
        <v>0</v>
      </c>
      <c r="C7" s="52" t="s">
        <v>199</v>
      </c>
      <c r="D7" s="52" t="s">
        <v>199</v>
      </c>
      <c r="E7" s="52" t="s">
        <v>199</v>
      </c>
      <c r="F7" s="53">
        <v>12546.356</v>
      </c>
      <c r="G7" s="53">
        <v>11389.512000000001</v>
      </c>
      <c r="H7" s="53">
        <v>8710.1139999999996</v>
      </c>
      <c r="I7" s="53">
        <v>11102.941000000001</v>
      </c>
      <c r="J7" s="54">
        <v>9843.4419999999991</v>
      </c>
      <c r="K7" s="54">
        <v>9167.7960000000003</v>
      </c>
      <c r="L7" s="55">
        <v>7544.9889999999996</v>
      </c>
      <c r="M7" s="49"/>
      <c r="N7" s="49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15.6" x14ac:dyDescent="0.3">
      <c r="B8" s="51" t="s">
        <v>200</v>
      </c>
      <c r="C8" s="52" t="s">
        <v>199</v>
      </c>
      <c r="D8" s="52" t="s">
        <v>199</v>
      </c>
      <c r="E8" s="52" t="s">
        <v>199</v>
      </c>
      <c r="F8" s="53">
        <v>3615.462</v>
      </c>
      <c r="G8" s="53">
        <v>4598.0780000000004</v>
      </c>
      <c r="H8" s="53">
        <v>5172.652</v>
      </c>
      <c r="I8" s="53">
        <v>4968.9160000000002</v>
      </c>
      <c r="J8" s="54">
        <v>4948.817</v>
      </c>
      <c r="K8" s="54">
        <v>5423.607</v>
      </c>
      <c r="L8" s="55">
        <v>5639.0330000000004</v>
      </c>
      <c r="M8" s="49"/>
      <c r="N8" s="49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5" ht="16.2" x14ac:dyDescent="0.3">
      <c r="B9" s="56" t="s">
        <v>201</v>
      </c>
      <c r="C9" s="57">
        <v>6.4690000000000003</v>
      </c>
      <c r="D9" s="57">
        <v>4.3019999999999996</v>
      </c>
      <c r="E9" s="58">
        <v>11.61</v>
      </c>
      <c r="F9" s="57">
        <v>9.1210000000000004</v>
      </c>
      <c r="G9" s="57">
        <v>5.8010000000000002</v>
      </c>
      <c r="H9" s="57">
        <v>4.6950000000000003</v>
      </c>
      <c r="I9" s="57">
        <v>5.5250000000000004</v>
      </c>
      <c r="J9" s="59">
        <v>11.61</v>
      </c>
      <c r="K9" s="60">
        <v>9.3970000000000002</v>
      </c>
      <c r="L9" s="61">
        <v>8.8439999999999994</v>
      </c>
      <c r="M9" s="49"/>
      <c r="N9" s="49"/>
      <c r="O9" s="33"/>
      <c r="P9" s="33"/>
      <c r="Q9" s="33"/>
      <c r="R9" s="33"/>
      <c r="S9" s="33"/>
      <c r="T9" s="33"/>
      <c r="V9" s="33"/>
      <c r="W9" s="33"/>
      <c r="X9" s="33"/>
      <c r="Y9" s="33"/>
    </row>
    <row r="10" spans="1:25" ht="16.2" x14ac:dyDescent="0.3">
      <c r="B10" s="62" t="s">
        <v>202</v>
      </c>
      <c r="C10" s="63">
        <v>0</v>
      </c>
      <c r="D10" s="64">
        <v>17.597000000000001</v>
      </c>
      <c r="E10" s="64">
        <v>29.869</v>
      </c>
      <c r="F10" s="64">
        <v>39.362000000000002</v>
      </c>
      <c r="G10" s="64">
        <v>40.518999999999998</v>
      </c>
      <c r="H10" s="64">
        <v>34.962000000000003</v>
      </c>
      <c r="I10" s="64">
        <v>37.509</v>
      </c>
      <c r="J10" s="65">
        <v>34.962000000000003</v>
      </c>
      <c r="K10" s="65">
        <v>32.415999999999997</v>
      </c>
      <c r="L10" s="66">
        <v>34.731000000000002</v>
      </c>
      <c r="M10" s="49"/>
      <c r="N10" s="49"/>
      <c r="O10" s="33"/>
      <c r="P10" s="33"/>
      <c r="Q10" s="33"/>
      <c r="R10" s="33"/>
      <c r="S10" s="33"/>
      <c r="T10" s="33"/>
      <c r="V10" s="33"/>
      <c r="W10" s="33"/>
      <c r="X10" s="33"/>
      <c r="Y10" s="33"/>
    </row>
    <row r="11" spans="1:25" ht="16.8" thickBot="1" x14ac:dyDescent="0.35">
      <c r="B11" s="67" t="s">
        <v>203</v>
      </c>
      <c r="C11" s="68">
        <v>11119.857</v>
      </c>
      <c r="D11" s="68">
        <v>15281.652</v>
      </c>
      <c r="E11" s="68">
        <v>16223.691999999999</v>
      </c>
      <c r="F11" s="68">
        <v>16210.300999999999</v>
      </c>
      <c r="G11" s="68">
        <v>16033.91</v>
      </c>
      <c r="H11" s="68">
        <v>13922.424000000001</v>
      </c>
      <c r="I11" s="68">
        <v>16114.891</v>
      </c>
      <c r="J11" s="69">
        <v>14838.832</v>
      </c>
      <c r="K11" s="69">
        <v>14633.216</v>
      </c>
      <c r="L11" s="70">
        <v>13227.597</v>
      </c>
      <c r="M11" s="49"/>
      <c r="N11" s="49"/>
      <c r="O11" s="71"/>
      <c r="P11" s="71"/>
      <c r="Q11" s="71"/>
      <c r="R11" s="71"/>
      <c r="S11" s="71"/>
      <c r="T11" s="71"/>
      <c r="V11" s="33"/>
      <c r="W11" s="33"/>
      <c r="X11" s="33"/>
      <c r="Y11" s="33"/>
    </row>
    <row r="12" spans="1:25" x14ac:dyDescent="0.3">
      <c r="B12" s="72"/>
      <c r="C12" s="73"/>
      <c r="D12" s="74"/>
      <c r="E12" s="74"/>
      <c r="F12" s="74"/>
      <c r="G12" s="75"/>
      <c r="H12" s="75"/>
      <c r="I12" s="75"/>
      <c r="J12" s="76"/>
      <c r="K12" s="76"/>
      <c r="L12" s="75"/>
      <c r="M12" s="71"/>
      <c r="N12" s="71"/>
      <c r="O12" s="71"/>
      <c r="P12" s="71"/>
      <c r="Q12" s="71"/>
      <c r="R12" s="71"/>
      <c r="S12" s="71"/>
      <c r="T12" s="71"/>
      <c r="V12" s="33"/>
      <c r="W12" s="33"/>
      <c r="X12" s="33"/>
      <c r="Y12" s="33"/>
    </row>
    <row r="13" spans="1:25" s="36" customFormat="1" ht="16.2" x14ac:dyDescent="0.3">
      <c r="B13" s="40"/>
      <c r="C13" s="41" t="s">
        <v>204</v>
      </c>
      <c r="D13" s="42"/>
      <c r="E13" s="42"/>
      <c r="F13" s="42"/>
      <c r="G13" s="43"/>
      <c r="H13" s="43"/>
      <c r="I13" s="43"/>
      <c r="J13" s="43"/>
      <c r="K13" s="43"/>
      <c r="L13" s="43"/>
      <c r="M13" s="43"/>
    </row>
    <row r="14" spans="1:25" x14ac:dyDescent="0.3">
      <c r="B14" s="44"/>
      <c r="C14" s="45" t="s">
        <v>205</v>
      </c>
      <c r="D14" s="45"/>
      <c r="E14" s="45"/>
      <c r="F14" s="45"/>
      <c r="G14" s="45"/>
      <c r="H14" s="45"/>
      <c r="I14" s="45"/>
      <c r="J14" s="77"/>
      <c r="K14" s="77"/>
      <c r="L14" s="45"/>
      <c r="M14" s="45"/>
      <c r="N14" s="35"/>
      <c r="O14" s="35"/>
      <c r="P14" s="35"/>
      <c r="Q14" s="35"/>
      <c r="R14" s="35"/>
      <c r="S14" s="35"/>
      <c r="T14" s="35"/>
      <c r="U14" s="35"/>
    </row>
    <row r="15" spans="1:25" ht="16.2" x14ac:dyDescent="0.3">
      <c r="B15" s="78" t="s">
        <v>206</v>
      </c>
      <c r="C15" s="46">
        <v>9660.2520000000004</v>
      </c>
      <c r="D15" s="46">
        <v>14795.617</v>
      </c>
      <c r="E15" s="46">
        <v>15141.096</v>
      </c>
      <c r="F15" s="46">
        <v>19080.987000000001</v>
      </c>
      <c r="G15" s="46">
        <v>19305.956999999999</v>
      </c>
      <c r="H15" s="46">
        <v>18782.733</v>
      </c>
      <c r="I15" s="46">
        <v>20495.315999999999</v>
      </c>
      <c r="J15" s="47">
        <v>18922.392</v>
      </c>
      <c r="K15" s="47">
        <v>19585.128000000001</v>
      </c>
      <c r="L15" s="48">
        <v>19583.393</v>
      </c>
      <c r="N15" s="49"/>
      <c r="O15" s="49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 ht="15.6" x14ac:dyDescent="0.3">
      <c r="B16" s="79" t="s">
        <v>0</v>
      </c>
      <c r="C16" s="53">
        <v>9343.2060000000001</v>
      </c>
      <c r="D16" s="53">
        <v>12170.798000000001</v>
      </c>
      <c r="E16" s="53">
        <v>12084.243</v>
      </c>
      <c r="F16" s="53">
        <v>12088.419</v>
      </c>
      <c r="G16" s="53">
        <v>10035.4</v>
      </c>
      <c r="H16" s="53">
        <v>7890.2430000000004</v>
      </c>
      <c r="I16" s="53">
        <v>9650.3529999999992</v>
      </c>
      <c r="J16" s="54">
        <v>8537.5640000000003</v>
      </c>
      <c r="K16" s="54">
        <v>7934.8549999999996</v>
      </c>
      <c r="L16" s="55">
        <v>7045.6769999999997</v>
      </c>
      <c r="N16" s="49"/>
      <c r="O16" s="49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2:25" ht="15.6" x14ac:dyDescent="0.3">
      <c r="B17" s="79" t="s">
        <v>200</v>
      </c>
      <c r="C17" s="53">
        <v>308.26900000000001</v>
      </c>
      <c r="D17" s="53">
        <v>2612.7930000000001</v>
      </c>
      <c r="E17" s="53">
        <v>3039.1680000000001</v>
      </c>
      <c r="F17" s="53">
        <v>6992.16</v>
      </c>
      <c r="G17" s="53">
        <v>9270.3559999999998</v>
      </c>
      <c r="H17" s="53">
        <v>10892.209000000001</v>
      </c>
      <c r="I17" s="53">
        <v>10844.793</v>
      </c>
      <c r="J17" s="54">
        <v>10384.648999999999</v>
      </c>
      <c r="K17" s="54">
        <v>11650.075000000001</v>
      </c>
      <c r="L17" s="55">
        <v>12537.527</v>
      </c>
      <c r="N17" s="49"/>
      <c r="O17" s="49"/>
      <c r="P17" s="33"/>
      <c r="Q17" s="33"/>
      <c r="R17" s="33"/>
      <c r="S17" s="33"/>
      <c r="T17" s="33"/>
      <c r="V17" s="33"/>
      <c r="W17" s="33"/>
      <c r="X17" s="33"/>
      <c r="Y17" s="33"/>
    </row>
    <row r="18" spans="2:25" s="36" customFormat="1" ht="15.6" x14ac:dyDescent="0.3">
      <c r="B18" s="56" t="s">
        <v>207</v>
      </c>
      <c r="C18" s="80">
        <v>8.7769999999999992</v>
      </c>
      <c r="D18" s="53">
        <v>12.026</v>
      </c>
      <c r="E18" s="53">
        <v>17.684999999999999</v>
      </c>
      <c r="F18" s="81">
        <v>0.40799999999999997</v>
      </c>
      <c r="G18" s="82">
        <v>0.20100000000000001</v>
      </c>
      <c r="H18" s="82">
        <v>0.28100000000000003</v>
      </c>
      <c r="I18" s="82">
        <v>0.17</v>
      </c>
      <c r="J18" s="83">
        <v>0.17899999999999999</v>
      </c>
      <c r="K18" s="83">
        <v>0.19800000000000001</v>
      </c>
      <c r="L18" s="84">
        <v>0.189</v>
      </c>
      <c r="N18" s="49"/>
      <c r="O18" s="49"/>
    </row>
    <row r="19" spans="2:25" ht="15.6" x14ac:dyDescent="0.3">
      <c r="B19" s="85" t="s">
        <v>208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86">
        <v>0</v>
      </c>
      <c r="K19" s="86">
        <v>0</v>
      </c>
      <c r="L19" s="87">
        <v>0</v>
      </c>
      <c r="N19" s="49"/>
      <c r="O19" s="49"/>
      <c r="P19" s="88"/>
      <c r="Q19" s="88"/>
      <c r="R19" s="88"/>
      <c r="S19" s="88"/>
      <c r="T19" s="88"/>
      <c r="V19" s="33"/>
      <c r="W19" s="33"/>
      <c r="X19" s="33"/>
      <c r="Y19" s="33"/>
    </row>
    <row r="20" spans="2:25" ht="15.6" x14ac:dyDescent="0.3">
      <c r="B20" s="85" t="s">
        <v>94</v>
      </c>
      <c r="C20" s="64">
        <v>4214.9949999999999</v>
      </c>
      <c r="D20" s="64">
        <v>4572.91</v>
      </c>
      <c r="E20" s="64">
        <v>3866.0479999999998</v>
      </c>
      <c r="F20" s="64">
        <v>3425.6109999999999</v>
      </c>
      <c r="G20" s="64">
        <v>3666.114</v>
      </c>
      <c r="H20" s="64">
        <v>4423.24</v>
      </c>
      <c r="I20" s="64">
        <v>2982.4140000000002</v>
      </c>
      <c r="J20" s="65">
        <v>3304.0329999999999</v>
      </c>
      <c r="K20" s="65">
        <v>2770.3159999999998</v>
      </c>
      <c r="L20" s="66">
        <v>2453.241</v>
      </c>
      <c r="N20" s="49"/>
      <c r="O20" s="49"/>
      <c r="P20" s="89"/>
      <c r="Q20" s="90"/>
      <c r="R20" s="90"/>
      <c r="S20" s="90"/>
      <c r="T20" s="90"/>
      <c r="U20" s="90"/>
      <c r="V20" s="90"/>
      <c r="W20" s="90"/>
      <c r="X20" s="90"/>
      <c r="Y20" s="90"/>
    </row>
    <row r="21" spans="2:25" ht="16.2" x14ac:dyDescent="0.3">
      <c r="B21" s="85" t="s">
        <v>209</v>
      </c>
      <c r="C21" s="63">
        <v>0</v>
      </c>
      <c r="D21" s="64">
        <v>91.915999999999997</v>
      </c>
      <c r="E21" s="64">
        <v>506.58699999999999</v>
      </c>
      <c r="F21" s="64">
        <v>619.83199999999999</v>
      </c>
      <c r="G21" s="64">
        <v>706.80700000000002</v>
      </c>
      <c r="H21" s="64">
        <v>743.13499999999999</v>
      </c>
      <c r="I21" s="64">
        <v>894.25800000000004</v>
      </c>
      <c r="J21" s="65">
        <v>1789.982</v>
      </c>
      <c r="K21" s="65">
        <v>1978.1420000000001</v>
      </c>
      <c r="L21" s="66">
        <v>2143.34</v>
      </c>
      <c r="N21" s="49"/>
      <c r="O21" s="49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2:25" ht="16.2" x14ac:dyDescent="0.3">
      <c r="B22" s="85" t="s">
        <v>210</v>
      </c>
      <c r="C22" s="92">
        <v>0</v>
      </c>
      <c r="D22" s="92">
        <v>0</v>
      </c>
      <c r="E22" s="93">
        <v>627.6</v>
      </c>
      <c r="F22" s="92">
        <v>0</v>
      </c>
      <c r="G22" s="94">
        <v>216.00399999999999</v>
      </c>
      <c r="H22" s="94">
        <v>177.667</v>
      </c>
      <c r="I22" s="94">
        <v>214.58600000000001</v>
      </c>
      <c r="J22" s="94">
        <v>172.23400000000001</v>
      </c>
      <c r="K22" s="94">
        <v>249.136</v>
      </c>
      <c r="L22" s="95">
        <v>233.10300000000001</v>
      </c>
      <c r="N22" s="49"/>
      <c r="O22" s="49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2:25" ht="16.8" thickBot="1" x14ac:dyDescent="0.35">
      <c r="B23" s="96" t="s">
        <v>211</v>
      </c>
      <c r="C23" s="68">
        <v>13875.246999999999</v>
      </c>
      <c r="D23" s="68">
        <v>19460.442999999999</v>
      </c>
      <c r="E23" s="68">
        <v>20141.330999999998</v>
      </c>
      <c r="F23" s="68">
        <v>23126.43</v>
      </c>
      <c r="G23" s="68">
        <v>23894.882000000001</v>
      </c>
      <c r="H23" s="68">
        <v>24126.775000000001</v>
      </c>
      <c r="I23" s="68">
        <v>24586.574000000001</v>
      </c>
      <c r="J23" s="69">
        <v>24188.641</v>
      </c>
      <c r="K23" s="69">
        <v>24582.722000000002</v>
      </c>
      <c r="L23" s="70">
        <v>24413.077000000001</v>
      </c>
      <c r="N23" s="49"/>
      <c r="O23" s="49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2:25" ht="15.6" x14ac:dyDescent="0.3">
      <c r="B24" s="97"/>
      <c r="C24" s="98"/>
      <c r="D24" s="74"/>
      <c r="E24" s="74"/>
      <c r="F24" s="74"/>
      <c r="G24" s="75"/>
      <c r="H24" s="75"/>
      <c r="I24" s="75"/>
      <c r="J24" s="76"/>
      <c r="K24" s="76"/>
      <c r="L24" s="75"/>
      <c r="N24" s="49"/>
      <c r="O24" s="49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2:25" s="36" customFormat="1" ht="16.2" x14ac:dyDescent="0.3">
      <c r="B25" s="40"/>
      <c r="C25" s="41" t="s">
        <v>212</v>
      </c>
      <c r="D25" s="42"/>
      <c r="E25" s="42"/>
      <c r="F25" s="42"/>
      <c r="G25" s="43"/>
      <c r="H25" s="43"/>
      <c r="I25" s="43"/>
      <c r="J25" s="43"/>
      <c r="K25" s="43"/>
      <c r="L25" s="43"/>
      <c r="N25" s="49"/>
      <c r="O25" s="49"/>
    </row>
    <row r="26" spans="2:25" ht="15.6" x14ac:dyDescent="0.3">
      <c r="B26" s="44"/>
      <c r="C26" s="45" t="s">
        <v>213</v>
      </c>
      <c r="D26" s="45"/>
      <c r="E26" s="45"/>
      <c r="F26" s="45"/>
      <c r="G26" s="45"/>
      <c r="H26" s="45"/>
      <c r="I26" s="45"/>
      <c r="J26" s="77"/>
      <c r="K26" s="77"/>
      <c r="L26" s="45"/>
      <c r="N26" s="49"/>
      <c r="O26" s="49"/>
      <c r="P26" s="35"/>
      <c r="Q26" s="35"/>
      <c r="R26" s="35"/>
      <c r="S26" s="35"/>
      <c r="T26" s="35"/>
      <c r="U26" s="35"/>
    </row>
    <row r="27" spans="2:25" ht="16.2" x14ac:dyDescent="0.35">
      <c r="B27" s="99" t="s">
        <v>214</v>
      </c>
      <c r="C27" s="100">
        <v>796.35699999999997</v>
      </c>
      <c r="D27" s="100">
        <v>779.78099999999995</v>
      </c>
      <c r="E27" s="100">
        <v>799.76700000000005</v>
      </c>
      <c r="F27" s="100">
        <v>695.279</v>
      </c>
      <c r="G27" s="100">
        <v>665.25199999999995</v>
      </c>
      <c r="H27" s="100">
        <v>571.673</v>
      </c>
      <c r="I27" s="100">
        <v>649.73199999999997</v>
      </c>
      <c r="J27" s="101">
        <v>607.923</v>
      </c>
      <c r="K27" s="101">
        <v>589.71299999999997</v>
      </c>
      <c r="L27" s="102">
        <v>536.51800000000003</v>
      </c>
      <c r="M27" s="49"/>
      <c r="N27" s="49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</row>
    <row r="28" spans="2:25" ht="16.2" x14ac:dyDescent="0.35">
      <c r="B28" s="103" t="s">
        <v>215</v>
      </c>
      <c r="C28" s="82">
        <v>1.4999999999999999E-2</v>
      </c>
      <c r="D28" s="82">
        <v>3.1E-2</v>
      </c>
      <c r="E28" s="82">
        <v>3.5000000000000003E-2</v>
      </c>
      <c r="F28" s="82">
        <v>4.9000000000000002E-2</v>
      </c>
      <c r="G28" s="82">
        <v>5.6000000000000001E-2</v>
      </c>
      <c r="H28" s="82">
        <v>0.06</v>
      </c>
      <c r="I28" s="82">
        <v>5.8000000000000003E-2</v>
      </c>
      <c r="J28" s="83">
        <v>5.8000000000000003E-2</v>
      </c>
      <c r="K28" s="83">
        <v>6.2E-2</v>
      </c>
      <c r="L28" s="84">
        <v>6.3E-2</v>
      </c>
      <c r="M28" s="49"/>
      <c r="N28" s="49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</row>
    <row r="29" spans="2:25" ht="16.2" x14ac:dyDescent="0.35">
      <c r="B29" s="103" t="s">
        <v>216</v>
      </c>
      <c r="C29" s="82">
        <v>1.7999999999999999E-2</v>
      </c>
      <c r="D29" s="82">
        <v>1.7000000000000001E-2</v>
      </c>
      <c r="E29" s="82">
        <v>1.7999999999999999E-2</v>
      </c>
      <c r="F29" s="82">
        <v>1.6E-2</v>
      </c>
      <c r="G29" s="82">
        <v>1.6E-2</v>
      </c>
      <c r="H29" s="82">
        <v>1.4E-2</v>
      </c>
      <c r="I29" s="82">
        <v>1.4999999999999999E-2</v>
      </c>
      <c r="J29" s="83">
        <v>1.4999999999999999E-2</v>
      </c>
      <c r="K29" s="83">
        <v>1.4E-2</v>
      </c>
      <c r="L29" s="84">
        <v>1.2999999999999999E-2</v>
      </c>
      <c r="M29" s="49"/>
      <c r="N29" s="49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</row>
    <row r="30" spans="2:25" ht="17.399999999999999" thickBot="1" x14ac:dyDescent="0.4">
      <c r="B30" s="105" t="s">
        <v>217</v>
      </c>
      <c r="C30" s="68">
        <v>801.43100000000004</v>
      </c>
      <c r="D30" s="68">
        <v>785.28499999999997</v>
      </c>
      <c r="E30" s="68">
        <v>805.50599999999997</v>
      </c>
      <c r="F30" s="68">
        <v>700.95600000000002</v>
      </c>
      <c r="G30" s="68">
        <v>671.01499999999999</v>
      </c>
      <c r="H30" s="68">
        <v>577.04700000000003</v>
      </c>
      <c r="I30" s="68">
        <v>655.423</v>
      </c>
      <c r="J30" s="69">
        <v>613.45399999999995</v>
      </c>
      <c r="K30" s="69">
        <v>595.25800000000004</v>
      </c>
      <c r="L30" s="70">
        <v>541.82600000000002</v>
      </c>
      <c r="M30" s="49"/>
      <c r="N30" s="49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</row>
    <row r="31" spans="2:25" ht="15.6" x14ac:dyDescent="0.3">
      <c r="B31" s="44"/>
      <c r="C31" s="45" t="s">
        <v>218</v>
      </c>
      <c r="D31" s="45"/>
      <c r="E31" s="45"/>
      <c r="F31" s="45"/>
      <c r="G31" s="45"/>
      <c r="H31" s="45"/>
      <c r="I31" s="45"/>
      <c r="J31" s="77"/>
      <c r="K31" s="77"/>
      <c r="L31" s="45"/>
      <c r="M31" s="49"/>
      <c r="N31" s="49"/>
      <c r="O31" s="35"/>
      <c r="P31" s="35"/>
      <c r="Q31" s="35"/>
      <c r="R31" s="35"/>
      <c r="S31" s="35"/>
      <c r="T31" s="35"/>
      <c r="U31" s="35"/>
    </row>
    <row r="32" spans="2:25" ht="16.2" x14ac:dyDescent="0.3">
      <c r="B32" s="107" t="s">
        <v>219</v>
      </c>
      <c r="C32" s="100">
        <v>1333.0550000000001</v>
      </c>
      <c r="D32" s="100">
        <v>1355.934</v>
      </c>
      <c r="E32" s="100">
        <v>1840.9179999999999</v>
      </c>
      <c r="F32" s="100">
        <v>1971.3340000000001</v>
      </c>
      <c r="G32" s="100">
        <v>1629.3920000000001</v>
      </c>
      <c r="H32" s="100">
        <v>1695.3579999999999</v>
      </c>
      <c r="I32" s="100">
        <v>1581.0039999999999</v>
      </c>
      <c r="J32" s="101">
        <v>1533.56</v>
      </c>
      <c r="K32" s="101">
        <v>1418.423</v>
      </c>
      <c r="L32" s="102">
        <v>1633.2349999999999</v>
      </c>
      <c r="M32" s="49"/>
      <c r="N32" s="49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</row>
    <row r="33" spans="2:25" ht="16.8" x14ac:dyDescent="0.35">
      <c r="B33" s="109" t="s">
        <v>220</v>
      </c>
      <c r="C33" s="110">
        <v>1.82</v>
      </c>
      <c r="D33" s="110">
        <v>1.2929999999999999</v>
      </c>
      <c r="E33" s="111">
        <v>1.3819999999999999</v>
      </c>
      <c r="F33" s="112">
        <v>0.748</v>
      </c>
      <c r="G33" s="112">
        <v>0.501</v>
      </c>
      <c r="H33" s="112">
        <v>0.47599999999999998</v>
      </c>
      <c r="I33" s="112">
        <v>0.94099999999999995</v>
      </c>
      <c r="J33" s="113">
        <v>0.60199999999999998</v>
      </c>
      <c r="K33" s="113">
        <v>0.59399999999999997</v>
      </c>
      <c r="L33" s="114">
        <v>1.113</v>
      </c>
      <c r="M33" s="49"/>
      <c r="N33" s="49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</row>
    <row r="34" spans="2:25" x14ac:dyDescent="0.3">
      <c r="B34" s="44"/>
      <c r="C34" s="45" t="s">
        <v>221</v>
      </c>
      <c r="D34" s="45"/>
      <c r="E34" s="45"/>
      <c r="F34" s="45"/>
      <c r="G34" s="45"/>
      <c r="H34" s="45"/>
      <c r="I34" s="45"/>
      <c r="J34" s="77"/>
      <c r="K34" s="77"/>
      <c r="L34" s="45"/>
      <c r="M34" s="45"/>
      <c r="N34" s="35"/>
      <c r="O34" s="35"/>
      <c r="P34" s="35"/>
      <c r="Q34" s="35"/>
      <c r="R34" s="35"/>
      <c r="S34" s="35"/>
      <c r="T34" s="35"/>
      <c r="U34" s="35"/>
    </row>
    <row r="35" spans="2:25" ht="17.399999999999999" thickBot="1" x14ac:dyDescent="0.4">
      <c r="B35" s="115" t="s">
        <v>222</v>
      </c>
      <c r="C35" s="68">
        <v>886.74099999999999</v>
      </c>
      <c r="D35" s="68">
        <v>844.15099999999995</v>
      </c>
      <c r="E35" s="68">
        <v>886.596</v>
      </c>
      <c r="F35" s="68">
        <v>766.29499999999996</v>
      </c>
      <c r="G35" s="68">
        <v>720.14599999999996</v>
      </c>
      <c r="H35" s="68">
        <v>620.68700000000001</v>
      </c>
      <c r="I35" s="68">
        <v>700.51900000000001</v>
      </c>
      <c r="J35" s="69">
        <v>655.01599999999996</v>
      </c>
      <c r="K35" s="69">
        <v>631.74</v>
      </c>
      <c r="L35" s="70">
        <v>580.72</v>
      </c>
      <c r="M35" s="49"/>
      <c r="N35" s="49"/>
    </row>
    <row r="36" spans="2:25" ht="15.6" x14ac:dyDescent="0.3">
      <c r="B36" s="97"/>
      <c r="C36" s="72"/>
      <c r="D36" s="72"/>
      <c r="E36" s="72"/>
      <c r="M36" s="49"/>
      <c r="N36" s="49"/>
    </row>
    <row r="37" spans="2:25" x14ac:dyDescent="0.3">
      <c r="B37" s="116" t="s">
        <v>223</v>
      </c>
      <c r="C37" s="72"/>
      <c r="D37" s="72"/>
      <c r="E37" s="72"/>
    </row>
    <row r="38" spans="2:25" ht="15.6" x14ac:dyDescent="0.3">
      <c r="B38" s="97" t="s">
        <v>224</v>
      </c>
      <c r="C38" s="72"/>
      <c r="D38" s="75"/>
      <c r="E38" s="72"/>
      <c r="M38" s="49"/>
      <c r="N38" s="49"/>
    </row>
    <row r="39" spans="2:25" x14ac:dyDescent="0.3">
      <c r="B39" s="97" t="s">
        <v>225</v>
      </c>
      <c r="C39" s="72"/>
      <c r="D39" s="75"/>
      <c r="E39" s="72"/>
    </row>
    <row r="40" spans="2:25" x14ac:dyDescent="0.3">
      <c r="B40" s="97" t="s">
        <v>226</v>
      </c>
      <c r="C40" s="72"/>
      <c r="D40" s="75"/>
      <c r="E40" s="72"/>
    </row>
    <row r="41" spans="2:25" x14ac:dyDescent="0.3">
      <c r="B41" s="97" t="s">
        <v>227</v>
      </c>
      <c r="C41" s="72"/>
      <c r="D41" s="75"/>
      <c r="E41" s="72"/>
    </row>
    <row r="42" spans="2:25" x14ac:dyDescent="0.3">
      <c r="B42" s="97" t="s">
        <v>228</v>
      </c>
      <c r="C42" s="72"/>
      <c r="D42" s="75"/>
      <c r="E42" s="72"/>
    </row>
    <row r="43" spans="2:25" x14ac:dyDescent="0.3">
      <c r="B43" s="97" t="s">
        <v>229</v>
      </c>
      <c r="C43" s="72"/>
      <c r="D43" s="75"/>
      <c r="E43" s="72"/>
    </row>
    <row r="44" spans="2:25" x14ac:dyDescent="0.3">
      <c r="B44" s="97" t="s">
        <v>230</v>
      </c>
      <c r="C44" s="72"/>
      <c r="D44" s="75"/>
      <c r="E44" s="72"/>
    </row>
    <row r="45" spans="2:25" x14ac:dyDescent="0.3">
      <c r="B45" s="97" t="s">
        <v>231</v>
      </c>
      <c r="C45" s="72"/>
      <c r="D45" s="75"/>
      <c r="E45" s="72"/>
    </row>
    <row r="46" spans="2:25" ht="15.6" x14ac:dyDescent="0.35">
      <c r="B46" s="97" t="s">
        <v>232</v>
      </c>
      <c r="C46" s="72"/>
      <c r="D46" s="75"/>
      <c r="E46" s="72"/>
    </row>
    <row r="47" spans="2:25" x14ac:dyDescent="0.3">
      <c r="B47" s="97" t="s">
        <v>233</v>
      </c>
      <c r="C47" s="72"/>
      <c r="D47" s="75"/>
      <c r="E47" s="72"/>
    </row>
    <row r="48" spans="2:25" x14ac:dyDescent="0.3">
      <c r="B48" s="97" t="s">
        <v>234</v>
      </c>
      <c r="C48" s="72"/>
      <c r="D48" s="75"/>
      <c r="E48" s="72"/>
    </row>
    <row r="49" spans="2:21" x14ac:dyDescent="0.3">
      <c r="B49" s="36" t="s">
        <v>235</v>
      </c>
      <c r="C49" s="72"/>
      <c r="D49" s="75"/>
      <c r="E49" s="72"/>
    </row>
    <row r="50" spans="2:21" x14ac:dyDescent="0.3">
      <c r="B50" s="36" t="s">
        <v>236</v>
      </c>
      <c r="C50" s="72"/>
      <c r="D50" s="75"/>
      <c r="E50" s="72"/>
    </row>
    <row r="51" spans="2:21" x14ac:dyDescent="0.3">
      <c r="B51" s="97" t="s">
        <v>237</v>
      </c>
      <c r="C51" s="72"/>
      <c r="D51" s="75"/>
      <c r="E51" s="72"/>
    </row>
    <row r="52" spans="2:21" x14ac:dyDescent="0.3">
      <c r="B52" s="97" t="s">
        <v>238</v>
      </c>
      <c r="C52" s="72"/>
      <c r="D52" s="75"/>
      <c r="E52" s="72"/>
    </row>
    <row r="53" spans="2:21" x14ac:dyDescent="0.3">
      <c r="B53" s="97" t="s">
        <v>239</v>
      </c>
      <c r="C53" s="72"/>
      <c r="D53" s="75"/>
      <c r="E53" s="72"/>
    </row>
    <row r="54" spans="2:21" x14ac:dyDescent="0.3">
      <c r="B54" s="97" t="s">
        <v>240</v>
      </c>
      <c r="C54" s="72"/>
      <c r="D54" s="75"/>
      <c r="E54" s="72"/>
    </row>
    <row r="55" spans="2:21" x14ac:dyDescent="0.3">
      <c r="B55" s="97" t="s">
        <v>241</v>
      </c>
      <c r="C55" s="72"/>
      <c r="D55" s="75"/>
      <c r="E55" s="72"/>
    </row>
    <row r="56" spans="2:21" x14ac:dyDescent="0.3">
      <c r="B56" s="117" t="s">
        <v>242</v>
      </c>
      <c r="C56" s="72"/>
      <c r="D56" s="75"/>
      <c r="E56" s="72"/>
    </row>
    <row r="57" spans="2:21" x14ac:dyDescent="0.3">
      <c r="B57" s="97" t="s">
        <v>243</v>
      </c>
      <c r="C57" s="72"/>
      <c r="D57" s="75"/>
      <c r="E57" s="72"/>
    </row>
    <row r="58" spans="2:21" ht="15.6" x14ac:dyDescent="0.35">
      <c r="B58" s="118" t="s">
        <v>244</v>
      </c>
      <c r="C58" s="72"/>
      <c r="D58" s="75"/>
      <c r="E58" s="72"/>
    </row>
    <row r="59" spans="2:21" ht="15.6" x14ac:dyDescent="0.35">
      <c r="B59" s="119" t="s">
        <v>245</v>
      </c>
      <c r="C59" s="72"/>
      <c r="D59" s="75"/>
      <c r="E59" s="72"/>
    </row>
    <row r="60" spans="2:21" x14ac:dyDescent="0.3">
      <c r="B60" s="97"/>
      <c r="C60" s="72"/>
      <c r="D60" s="75"/>
      <c r="E60" s="72"/>
    </row>
    <row r="61" spans="2:21" x14ac:dyDescent="0.3">
      <c r="B61" s="120" t="s">
        <v>246</v>
      </c>
    </row>
    <row r="62" spans="2:21" s="36" customFormat="1" x14ac:dyDescent="0.3">
      <c r="B62" s="36" t="s">
        <v>247</v>
      </c>
      <c r="U62" s="121"/>
    </row>
    <row r="65" spans="1:25" x14ac:dyDescent="0.3">
      <c r="A65" t="s">
        <v>256</v>
      </c>
      <c r="F65" s="122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</row>
    <row r="66" spans="1:25" x14ac:dyDescent="0.3">
      <c r="A66" s="31" t="s">
        <v>257</v>
      </c>
      <c r="F66" s="122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</row>
    <row r="67" spans="1:25" x14ac:dyDescent="0.3">
      <c r="F67" s="122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</row>
    <row r="68" spans="1:25" x14ac:dyDescent="0.3">
      <c r="F68" s="122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</row>
    <row r="69" spans="1:25" x14ac:dyDescent="0.3">
      <c r="F69" s="122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</row>
    <row r="72" spans="1:25" x14ac:dyDescent="0.3">
      <c r="F72" s="124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</row>
    <row r="73" spans="1:25" x14ac:dyDescent="0.3">
      <c r="F73" s="126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</row>
    <row r="74" spans="1:25" x14ac:dyDescent="0.3">
      <c r="F74" s="126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Scenario Summary</vt:lpstr>
      <vt:lpstr>Scenario calculation</vt:lpstr>
      <vt:lpstr>Capital Cost of Projects</vt:lpstr>
      <vt:lpstr>SaskPower AR data</vt:lpstr>
      <vt:lpstr>EIA AEO 2026 costs</vt:lpstr>
      <vt:lpstr>Gas efficiency</vt:lpstr>
      <vt:lpstr>Carbon price exposure</vt:lpstr>
      <vt:lpstr>Coal emissions intensity</vt:lpstr>
      <vt:lpstr>Table A7–9</vt:lpstr>
      <vt:lpstr>GHGRP data</vt:lpstr>
      <vt:lpstr>'Table A7–9'!Print_Area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Dolter</dc:creator>
  <cp:lastModifiedBy>Brett Dolter</cp:lastModifiedBy>
  <dcterms:created xsi:type="dcterms:W3CDTF">2025-03-28T13:50:06Z</dcterms:created>
  <dcterms:modified xsi:type="dcterms:W3CDTF">2026-05-28T05:49:10Z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-426249901</vt:i4>
  </property>
  <property fmtid="{D5CDD505-2E9C-101B-9397-08002B2CF9AE}" pid="3" name="_NewReviewCycle">
    <vt:lpwstr/>
  </property>
  <property fmtid="{D5CDD505-2E9C-101B-9397-08002B2CF9AE}" pid="4" name="_EmailSubject">
    <vt:lpwstr>Submission of decision analysis related to SaskPower rate review</vt:lpwstr>
  </property>
  <property fmtid="{D5CDD505-2E9C-101B-9397-08002B2CF9AE}" pid="5" name="_AuthorEmail">
    <vt:lpwstr>Brett.Dolter@uregina.ca</vt:lpwstr>
  </property>
  <property fmtid="{D5CDD505-2E9C-101B-9397-08002B2CF9AE}" pid="6" name="_AuthorEmailDisplayName">
    <vt:lpwstr>Brett Dolter</vt:lpwstr>
  </property>
</Properties>
</file>